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mc:AlternateContent xmlns:mc="http://schemas.openxmlformats.org/markup-compatibility/2006">
    <mc:Choice Requires="x15">
      <x15ac:absPath xmlns:x15ac="http://schemas.microsoft.com/office/spreadsheetml/2010/11/ac" url="http://portal.lhins.on.ca/cw/hsp/funded/Sector/_00_OH Central/01_Funding/2022_23/03_In_Year_Reallocations/00_Template/"/>
    </mc:Choice>
  </mc:AlternateContent>
  <xr:revisionPtr revIDLastSave="0" documentId="13_ncr:1_{EF0FA8D2-A69B-46D2-B454-BF74676B8F35}" xr6:coauthVersionLast="47" xr6:coauthVersionMax="47" xr10:uidLastSave="{00000000-0000-0000-0000-000000000000}"/>
  <bookViews>
    <workbookView xWindow="-120" yWindow="-120" windowWidth="29040" windowHeight="15840" xr2:uid="{00000000-000D-0000-FFFF-FFFF00000000}"/>
  </bookViews>
  <sheets>
    <sheet name="ReadMe" sheetId="8" r:id="rId1"/>
    <sheet name="HSP Info" sheetId="1" r:id="rId2"/>
    <sheet name="Forecasted Surplus" sheetId="2" r:id="rId3"/>
    <sheet name="Request to Use Surplus" sheetId="3" r:id="rId4"/>
    <sheet name="OHRS" sheetId="6" state="hidden" r:id="rId5"/>
    <sheet name="Drop-Downs" sheetId="4" state="hidden" r:id="rId6"/>
  </sheets>
  <definedNames>
    <definedName name="_ftn1" localSheetId="2">'Forecasted Surplus'!$G$22</definedName>
    <definedName name="_ftn2" localSheetId="2">'Request to Use Surplus'!$M$50</definedName>
    <definedName name="_ftnref1" localSheetId="2">'Forecasted Surplus'!$G$8</definedName>
    <definedName name="_ftnref2" localSheetId="2">'Forecasted Surplus'!#REF!</definedName>
    <definedName name="Count_Recoveries">SUM(Surplus[[#Totals],[Add to Recoveries]],Requests[[#Totals],[Reallocation Type]])</definedName>
    <definedName name="Count_Recoveries_New">Surplus[[#Totals],[Add to Recoveries]]</definedName>
    <definedName name="Count_TPBE_CHC">COUNTIFS(Surplus[Sector],"CHC")</definedName>
    <definedName name="Count_TPBE_CSS">COUNTIFS(Surplus[Sector],"CSS")</definedName>
    <definedName name="Count_TPBE_MHA">COUNTIFS(Surplus[Sector],"MHA")</definedName>
    <definedName name="Count_TPBE_OHHC">COUNTIFS(Surplus[Sector],"OH-HC")</definedName>
    <definedName name="Count_TPBE_POMS">COUNTIFS(Surplus[Sector],"POMS")</definedName>
    <definedName name="Count_TPBE_SF">COUNTIFS(Surplus[Sector],"SF")</definedName>
    <definedName name="Count_TPBE_SH">COUNTIFS(Surplus[Sector],"SH")</definedName>
    <definedName name="Count_TPBE_Surplus_List">COUNT(TPBE[TPBE Surplus Check])</definedName>
    <definedName name="List_TPBE">TPBE[TPBE]</definedName>
    <definedName name="OHRS_FC">OHRS[Functional Centre Name and Number]</definedName>
    <definedName name="OHRS_M">OHRS[[Full-time equivalents (FTE)]:[Mental Health Sessions]]</definedName>
    <definedName name="OHRSM_Index">OHRS!$C$1:$P$1</definedName>
    <definedName name="Surplus_DD_Count">COUNT(Surplus_DD[Surplus Index])</definedName>
    <definedName name="Surplus_DD_FC_Header">Surplus_DD[[#Headers],[FC]]</definedName>
    <definedName name="Surplus_DD_TPBE_Header">Surplus_DD[[#Headers],[TPBE]]</definedName>
    <definedName name="Surplus_FC_Header">'Forecasted Surplus'!$H$8</definedName>
    <definedName name="Surplus_FC_List">Surplus[Functional Centre]</definedName>
    <definedName name="Surplus_TPBE_Header">'Forecasted Surplus'!$G$8</definedName>
    <definedName name="Surplus_TPBE_List">Surplus[TPBE]</definedName>
    <definedName name="TPBE_CHC">TPBE[CHC]</definedName>
    <definedName name="TPBE_CSS">TPBE[CSS]</definedName>
    <definedName name="TPBE_MHA">TPBE[MHA]</definedName>
    <definedName name="TPBE_Surplus_DD_List">TPBE[TPBE Surplus Drop-Down]</definedName>
    <definedName name="TPBE_Surplus_List">TPBE[TPBE Surplus List]</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5" i="2" l="1"/>
  <c r="D16" i="2"/>
  <c r="D17" i="2"/>
  <c r="D18" i="2"/>
  <c r="D19" i="2"/>
  <c r="AR26" i="4"/>
  <c r="AR25" i="4"/>
  <c r="AR24" i="4"/>
  <c r="AR23" i="4"/>
  <c r="AR22" i="4"/>
  <c r="AR21" i="4"/>
  <c r="AR20" i="4"/>
  <c r="AR19" i="4"/>
  <c r="AR18" i="4"/>
  <c r="AR17" i="4"/>
  <c r="AR16" i="4"/>
  <c r="AR15" i="4"/>
  <c r="AR14" i="4"/>
  <c r="AR13" i="4"/>
  <c r="AR12" i="4"/>
  <c r="AR11" i="4"/>
  <c r="AR10" i="4"/>
  <c r="AR9" i="4"/>
  <c r="AR8" i="4"/>
  <c r="AR7" i="4"/>
  <c r="AR6" i="4"/>
  <c r="AR5" i="4"/>
  <c r="AR4" i="4"/>
  <c r="AR3" i="4"/>
  <c r="A16" i="4" l="1"/>
  <c r="A14" i="4"/>
  <c r="A11" i="4"/>
  <c r="H18" i="3"/>
  <c r="H19" i="3"/>
  <c r="H20" i="3"/>
  <c r="H21" i="3"/>
  <c r="H22" i="3"/>
  <c r="H23" i="3"/>
  <c r="H24" i="3"/>
  <c r="H25" i="3"/>
  <c r="H26" i="3"/>
  <c r="H27" i="3"/>
  <c r="H28" i="3"/>
  <c r="G13" i="3" l="1"/>
  <c r="G14" i="3"/>
  <c r="G15" i="3"/>
  <c r="G16" i="3"/>
  <c r="G17" i="3"/>
  <c r="G18" i="3"/>
  <c r="G19" i="3"/>
  <c r="G20" i="3"/>
  <c r="G21" i="3"/>
  <c r="G22" i="3"/>
  <c r="G23" i="3"/>
  <c r="G24" i="3"/>
  <c r="G25" i="3"/>
  <c r="G26" i="3"/>
  <c r="G27" i="3"/>
  <c r="G28" i="3"/>
  <c r="A3" i="4"/>
  <c r="A4" i="4"/>
  <c r="A5" i="4"/>
  <c r="A6" i="4"/>
  <c r="A7" i="4"/>
  <c r="A8" i="4"/>
  <c r="A9" i="4"/>
  <c r="A10" i="4"/>
  <c r="A12" i="4"/>
  <c r="A13" i="4"/>
  <c r="A15" i="4"/>
  <c r="A17" i="4"/>
  <c r="D18" i="3" l="1"/>
  <c r="D17" i="3"/>
  <c r="D16" i="3"/>
  <c r="D19" i="3"/>
  <c r="D13" i="3"/>
  <c r="R13" i="3"/>
  <c r="R14" i="3"/>
  <c r="R15" i="3"/>
  <c r="R16" i="3"/>
  <c r="R17" i="3"/>
  <c r="R18" i="3"/>
  <c r="R19" i="3"/>
  <c r="R20" i="3"/>
  <c r="R21" i="3"/>
  <c r="R22" i="3"/>
  <c r="R23" i="3"/>
  <c r="R24" i="3"/>
  <c r="R25" i="3"/>
  <c r="R26" i="3"/>
  <c r="R27" i="3"/>
  <c r="R28" i="3"/>
  <c r="D15" i="3" l="1"/>
  <c r="D14" i="3"/>
  <c r="I13" i="3"/>
  <c r="I21" i="3"/>
  <c r="I28" i="3"/>
  <c r="I14" i="3"/>
  <c r="I22" i="3"/>
  <c r="I20" i="3"/>
  <c r="I15" i="3"/>
  <c r="I23" i="3"/>
  <c r="I16" i="3"/>
  <c r="I24" i="3"/>
  <c r="I17" i="3"/>
  <c r="I25" i="3"/>
  <c r="I27" i="3"/>
  <c r="I18" i="3"/>
  <c r="I26" i="3"/>
  <c r="I19" i="3"/>
  <c r="Q30" i="3"/>
  <c r="Q29" i="3"/>
  <c r="K17" i="3"/>
  <c r="K18" i="3"/>
  <c r="K19" i="3"/>
  <c r="K20" i="3"/>
  <c r="K21" i="3"/>
  <c r="K22" i="3"/>
  <c r="K23" i="3"/>
  <c r="K24" i="3"/>
  <c r="F16" i="2" l="1"/>
  <c r="K16" i="2"/>
  <c r="C16" i="2" s="1"/>
  <c r="F17" i="2"/>
  <c r="K17" i="2"/>
  <c r="C17" i="2" s="1"/>
  <c r="F18" i="2"/>
  <c r="K18" i="2"/>
  <c r="C18" i="2" s="1"/>
  <c r="E18" i="2" l="1"/>
  <c r="E17" i="2"/>
  <c r="E16" i="2"/>
  <c r="B16" i="2"/>
  <c r="B17" i="2"/>
  <c r="B18" i="2"/>
  <c r="D20" i="3"/>
  <c r="T29" i="3"/>
  <c r="U29" i="3"/>
  <c r="V29" i="3"/>
  <c r="W29" i="3"/>
  <c r="X29" i="3"/>
  <c r="Y29" i="3"/>
  <c r="Z29" i="3"/>
  <c r="AA29" i="3"/>
  <c r="AB29" i="3"/>
  <c r="AC29" i="3"/>
  <c r="AD29" i="3"/>
  <c r="AE29" i="3"/>
  <c r="AL3" i="4"/>
  <c r="AL4" i="4"/>
  <c r="AL5" i="4"/>
  <c r="AL6" i="4"/>
  <c r="AL7" i="4"/>
  <c r="AL8" i="4"/>
  <c r="AL9" i="4"/>
  <c r="AL10" i="4"/>
  <c r="AL11" i="4"/>
  <c r="AL12" i="4"/>
  <c r="AL13" i="4"/>
  <c r="AL14" i="4"/>
  <c r="AL15" i="4"/>
  <c r="AL16" i="4"/>
  <c r="AL17" i="4"/>
  <c r="AL18" i="4"/>
  <c r="AL19" i="4"/>
  <c r="AL20" i="4"/>
  <c r="AL21" i="4"/>
  <c r="AL22" i="4"/>
  <c r="AL23" i="4"/>
  <c r="AL24" i="4"/>
  <c r="AL25" i="4"/>
  <c r="AL26" i="4"/>
  <c r="J20" i="2" l="1"/>
  <c r="I20" i="2"/>
  <c r="K10" i="2"/>
  <c r="D10" i="2" s="1"/>
  <c r="K11" i="2"/>
  <c r="D11" i="2" s="1"/>
  <c r="K12" i="2"/>
  <c r="D12" i="2" s="1"/>
  <c r="K13" i="2"/>
  <c r="D13" i="2" s="1"/>
  <c r="K14" i="2"/>
  <c r="D14" i="2" s="1"/>
  <c r="K15" i="2"/>
  <c r="C15" i="2" s="1"/>
  <c r="K19" i="2"/>
  <c r="C19" i="2" s="1"/>
  <c r="AS26" i="4" l="1"/>
  <c r="AS23" i="4"/>
  <c r="AS12" i="4"/>
  <c r="AS10" i="4"/>
  <c r="AS24" i="4"/>
  <c r="AS18" i="4"/>
  <c r="AS15" i="4"/>
  <c r="AS19" i="4"/>
  <c r="AS7" i="4"/>
  <c r="AS11" i="4"/>
  <c r="AS9" i="4"/>
  <c r="AS16" i="4"/>
  <c r="AS22" i="4"/>
  <c r="AS25" i="4"/>
  <c r="AS6" i="4"/>
  <c r="AS20" i="4"/>
  <c r="AS8" i="4"/>
  <c r="AS14" i="4"/>
  <c r="AS21" i="4"/>
  <c r="AS13" i="4"/>
  <c r="AS17" i="4"/>
  <c r="E13" i="2"/>
  <c r="H15" i="3"/>
  <c r="H16" i="3"/>
  <c r="H17" i="3"/>
  <c r="H13" i="3"/>
  <c r="H14" i="3"/>
  <c r="E15" i="2"/>
  <c r="E11" i="2"/>
  <c r="E14" i="2"/>
  <c r="E12" i="2"/>
  <c r="E10" i="2"/>
  <c r="E19" i="2"/>
  <c r="L60" i="3"/>
  <c r="L61" i="3"/>
  <c r="L62" i="3"/>
  <c r="L63" i="3"/>
  <c r="L64" i="3"/>
  <c r="L65" i="3"/>
  <c r="L66" i="3"/>
  <c r="L67" i="3"/>
  <c r="L68" i="3"/>
  <c r="L69" i="3"/>
  <c r="M3" i="4" l="1"/>
  <c r="M11" i="4"/>
  <c r="M4" i="4"/>
  <c r="M12" i="4"/>
  <c r="M5" i="4"/>
  <c r="M13" i="4"/>
  <c r="M6" i="4"/>
  <c r="M14" i="4"/>
  <c r="M7" i="4"/>
  <c r="M15" i="4"/>
  <c r="M8" i="4"/>
  <c r="M16" i="4"/>
  <c r="M9" i="4"/>
  <c r="M17" i="4"/>
  <c r="M10" i="4"/>
  <c r="C17" i="3"/>
  <c r="E17" i="3" s="1"/>
  <c r="C18" i="3"/>
  <c r="E18" i="3" s="1"/>
  <c r="C16" i="3"/>
  <c r="E16" i="3" s="1"/>
  <c r="C19" i="3"/>
  <c r="E19" i="3" s="1"/>
  <c r="C14" i="3"/>
  <c r="E14" i="3" s="1"/>
  <c r="C15" i="3"/>
  <c r="E15" i="3" s="1"/>
  <c r="C13" i="3"/>
  <c r="E13" i="3" s="1"/>
  <c r="J19" i="3"/>
  <c r="J22" i="3"/>
  <c r="J21" i="3"/>
  <c r="J23" i="3"/>
  <c r="J17" i="3"/>
  <c r="J13" i="3"/>
  <c r="J26" i="3"/>
  <c r="J16" i="3"/>
  <c r="J18" i="3"/>
  <c r="J14" i="3"/>
  <c r="J20" i="3"/>
  <c r="J27" i="3"/>
  <c r="J28" i="3"/>
  <c r="J25" i="3"/>
  <c r="J24" i="3"/>
  <c r="J15" i="3"/>
  <c r="L44" i="3"/>
  <c r="L45" i="3"/>
  <c r="L46" i="3"/>
  <c r="L47" i="3"/>
  <c r="L48" i="3"/>
  <c r="N16" i="4" l="1"/>
  <c r="P16" i="4" s="1"/>
  <c r="R16" i="4" s="1" a="1"/>
  <c r="R16" i="4" s="1"/>
  <c r="O16" i="4"/>
  <c r="N14" i="4"/>
  <c r="P14" i="4" s="1"/>
  <c r="R14" i="4" s="1" a="1"/>
  <c r="R14" i="4" s="1"/>
  <c r="O14" i="4"/>
  <c r="N11" i="4"/>
  <c r="E20" i="3"/>
  <c r="C20" i="3"/>
  <c r="N6" i="4"/>
  <c r="N17" i="4"/>
  <c r="P17" i="4" s="1"/>
  <c r="R17" i="4" s="1" a="1"/>
  <c r="R17" i="4" s="1"/>
  <c r="O15" i="4"/>
  <c r="N9" i="4"/>
  <c r="N13" i="4"/>
  <c r="N10" i="4"/>
  <c r="N8" i="4"/>
  <c r="N4" i="4"/>
  <c r="O17" i="4"/>
  <c r="N5" i="4"/>
  <c r="N12" i="4"/>
  <c r="N7" i="4"/>
  <c r="N3" i="4"/>
  <c r="O13" i="4"/>
  <c r="N15" i="4"/>
  <c r="P15" i="4" s="1"/>
  <c r="R15" i="4" s="1" a="1"/>
  <c r="R15" i="4" s="1"/>
  <c r="L52" i="3"/>
  <c r="L53" i="3"/>
  <c r="L54" i="3"/>
  <c r="L55" i="3"/>
  <c r="L56" i="3"/>
  <c r="L57" i="3"/>
  <c r="L58" i="3"/>
  <c r="L59" i="3"/>
  <c r="L71" i="3"/>
  <c r="L72" i="3"/>
  <c r="L73" i="3"/>
  <c r="L74" i="3"/>
  <c r="L70" i="3"/>
  <c r="L39" i="3"/>
  <c r="L40" i="3"/>
  <c r="L41" i="3"/>
  <c r="L42" i="3"/>
  <c r="L43" i="3"/>
  <c r="O6" i="4" l="1"/>
  <c r="P6" i="4" s="1"/>
  <c r="O4" i="4"/>
  <c r="P4" i="4" s="1"/>
  <c r="O8" i="4"/>
  <c r="P8" i="4" s="1"/>
  <c r="O10" i="4"/>
  <c r="P10" i="4" s="1"/>
  <c r="O11" i="4"/>
  <c r="P11" i="4" s="1"/>
  <c r="O3" i="4"/>
  <c r="P3" i="4" s="1"/>
  <c r="P13" i="4"/>
  <c r="O7" i="4"/>
  <c r="P7" i="4" s="1"/>
  <c r="O9" i="4"/>
  <c r="P9" i="4" s="1"/>
  <c r="O12" i="4"/>
  <c r="P12" i="4" s="1"/>
  <c r="O5" i="4"/>
  <c r="P5" i="4" s="1"/>
  <c r="Z3" i="4"/>
  <c r="Z4" i="4"/>
  <c r="Z5" i="4"/>
  <c r="Z6" i="4"/>
  <c r="Z7" i="4"/>
  <c r="Z8" i="4"/>
  <c r="Z9" i="4"/>
  <c r="Z10" i="4"/>
  <c r="Z11" i="4"/>
  <c r="Z12" i="4"/>
  <c r="Z13" i="4"/>
  <c r="Z14" i="4"/>
  <c r="Z15" i="4"/>
  <c r="Z16" i="4"/>
  <c r="Z17" i="4"/>
  <c r="Z18" i="4"/>
  <c r="Z19" i="4"/>
  <c r="Z20" i="4"/>
  <c r="Z21" i="4"/>
  <c r="Z22" i="4"/>
  <c r="Z23" i="4"/>
  <c r="Z24" i="4"/>
  <c r="Z25" i="4"/>
  <c r="Z26" i="4"/>
  <c r="Z27" i="4"/>
  <c r="Z28" i="4"/>
  <c r="Z29" i="4"/>
  <c r="Z30" i="4"/>
  <c r="Z31" i="4"/>
  <c r="Z32" i="4"/>
  <c r="Z33" i="4"/>
  <c r="Z34" i="4"/>
  <c r="Z35" i="4"/>
  <c r="Z36" i="4"/>
  <c r="Z37" i="4"/>
  <c r="Z38" i="4"/>
  <c r="Z39" i="4"/>
  <c r="Z40" i="4"/>
  <c r="Z41" i="4"/>
  <c r="Z42" i="4"/>
  <c r="Z43" i="4"/>
  <c r="Z44" i="4"/>
  <c r="Z45" i="4"/>
  <c r="Z46" i="4"/>
  <c r="Z47" i="4"/>
  <c r="Z48" i="4"/>
  <c r="Z49" i="4"/>
  <c r="Z50" i="4"/>
  <c r="Z51" i="4"/>
  <c r="Z52" i="4"/>
  <c r="Z53" i="4"/>
  <c r="Z54" i="4"/>
  <c r="Z55" i="4"/>
  <c r="Z56" i="4"/>
  <c r="Z57" i="4"/>
  <c r="Z58" i="4"/>
  <c r="Z59" i="4"/>
  <c r="Z60" i="4"/>
  <c r="Z61" i="4"/>
  <c r="Z62" i="4"/>
  <c r="Z63" i="4"/>
  <c r="Z64" i="4"/>
  <c r="Z65" i="4"/>
  <c r="Z66" i="4"/>
  <c r="Z67" i="4"/>
  <c r="Z68" i="4"/>
  <c r="Z69" i="4"/>
  <c r="Z70" i="4"/>
  <c r="Z71" i="4"/>
  <c r="Z72" i="4"/>
  <c r="Z73" i="4"/>
  <c r="Z74" i="4"/>
  <c r="Z75" i="4"/>
  <c r="Z76" i="4"/>
  <c r="Z77" i="4"/>
  <c r="Z78" i="4"/>
  <c r="Z79" i="4"/>
  <c r="Z80" i="4"/>
  <c r="Z81" i="4"/>
  <c r="Z82" i="4"/>
  <c r="Z83" i="4"/>
  <c r="Z84" i="4"/>
  <c r="Z85" i="4"/>
  <c r="Z86" i="4"/>
  <c r="Z87" i="4"/>
  <c r="Z88" i="4"/>
  <c r="Z89" i="4"/>
  <c r="Z90" i="4"/>
  <c r="Z91" i="4"/>
  <c r="Z92" i="4"/>
  <c r="Z93" i="4"/>
  <c r="Z94" i="4"/>
  <c r="Z95" i="4"/>
  <c r="Z96" i="4"/>
  <c r="Z97" i="4"/>
  <c r="Z98" i="4"/>
  <c r="Z99" i="4"/>
  <c r="Z100" i="4"/>
  <c r="Z101" i="4"/>
  <c r="Z102" i="4"/>
  <c r="Z103" i="4"/>
  <c r="Z104" i="4"/>
  <c r="Z105" i="4"/>
  <c r="Z106" i="4"/>
  <c r="Z107" i="4"/>
  <c r="Z108" i="4"/>
  <c r="Z109" i="4"/>
  <c r="Z110" i="4"/>
  <c r="Z111" i="4"/>
  <c r="Z112" i="4"/>
  <c r="Z113" i="4"/>
  <c r="Z114" i="4"/>
  <c r="Z115" i="4"/>
  <c r="Z116" i="4"/>
  <c r="Z117" i="4"/>
  <c r="Z118" i="4"/>
  <c r="Z119" i="4"/>
  <c r="Z120" i="4"/>
  <c r="Z121" i="4"/>
  <c r="Z122" i="4"/>
  <c r="Z123" i="4"/>
  <c r="Z124" i="4"/>
  <c r="Z125" i="4"/>
  <c r="Z126" i="4"/>
  <c r="Z127" i="4"/>
  <c r="Z128" i="4"/>
  <c r="Z129" i="4"/>
  <c r="Z130" i="4"/>
  <c r="Z131" i="4"/>
  <c r="Z132" i="4"/>
  <c r="Z133" i="4"/>
  <c r="Z134" i="4"/>
  <c r="Z135" i="4"/>
  <c r="Z136" i="4"/>
  <c r="Z137" i="4"/>
  <c r="Z138" i="4"/>
  <c r="Z139" i="4"/>
  <c r="Z140" i="4"/>
  <c r="Z141" i="4"/>
  <c r="Z142" i="4"/>
  <c r="Z143" i="4"/>
  <c r="Z144" i="4"/>
  <c r="Z145" i="4"/>
  <c r="Z146" i="4"/>
  <c r="Z147" i="4"/>
  <c r="Z148" i="4"/>
  <c r="Z149" i="4"/>
  <c r="Z150" i="4"/>
  <c r="Z151" i="4"/>
  <c r="Z152" i="4"/>
  <c r="Z153" i="4"/>
  <c r="Z154" i="4"/>
  <c r="Z155" i="4"/>
  <c r="Z156" i="4"/>
  <c r="Z157" i="4"/>
  <c r="Z158" i="4"/>
  <c r="Z159" i="4"/>
  <c r="Z160" i="4"/>
  <c r="Z161" i="4"/>
  <c r="Z162" i="4"/>
  <c r="Z163" i="4"/>
  <c r="Z164" i="4"/>
  <c r="Z165" i="4"/>
  <c r="Z166" i="4"/>
  <c r="Z167" i="4"/>
  <c r="Z168" i="4"/>
  <c r="Z169" i="4"/>
  <c r="Z170" i="4"/>
  <c r="Z171" i="4"/>
  <c r="Z172" i="4"/>
  <c r="Z173" i="4"/>
  <c r="Z174" i="4"/>
  <c r="Z175" i="4"/>
  <c r="Z176" i="4"/>
  <c r="Z177" i="4"/>
  <c r="Z178" i="4"/>
  <c r="Z179" i="4"/>
  <c r="Z180" i="4"/>
  <c r="Z181" i="4"/>
  <c r="Z182" i="4"/>
  <c r="Z183" i="4"/>
  <c r="Z184" i="4"/>
  <c r="Z185" i="4"/>
  <c r="Z186" i="4"/>
  <c r="Z187" i="4"/>
  <c r="Z188" i="4"/>
  <c r="Z189" i="4"/>
  <c r="Z190" i="4"/>
  <c r="Z191" i="4"/>
  <c r="Z192" i="4"/>
  <c r="Z193" i="4"/>
  <c r="Z194" i="4"/>
  <c r="Z195" i="4"/>
  <c r="Z196" i="4"/>
  <c r="Z197" i="4"/>
  <c r="Z198" i="4"/>
  <c r="Z199" i="4"/>
  <c r="Z200" i="4"/>
  <c r="Z201" i="4"/>
  <c r="Z202" i="4"/>
  <c r="Z203" i="4"/>
  <c r="Z204" i="4"/>
  <c r="Z205" i="4"/>
  <c r="Z206" i="4"/>
  <c r="Z207" i="4"/>
  <c r="Z208" i="4"/>
  <c r="Z209" i="4"/>
  <c r="Z210" i="4"/>
  <c r="Z211" i="4"/>
  <c r="Z212" i="4"/>
  <c r="Z213" i="4"/>
  <c r="AG3" i="4"/>
  <c r="AG4" i="4"/>
  <c r="AG5" i="4"/>
  <c r="AG6" i="4"/>
  <c r="AG7" i="4"/>
  <c r="AG8" i="4"/>
  <c r="AG9" i="4"/>
  <c r="AG10" i="4"/>
  <c r="AG11" i="4"/>
  <c r="AG12" i="4"/>
  <c r="AG13" i="4"/>
  <c r="AG14" i="4"/>
  <c r="AG15" i="4"/>
  <c r="AG16" i="4"/>
  <c r="AG17" i="4"/>
  <c r="AG18" i="4"/>
  <c r="AG19" i="4"/>
  <c r="AG20" i="4"/>
  <c r="AG21" i="4"/>
  <c r="AG22" i="4"/>
  <c r="AG23" i="4"/>
  <c r="AG24" i="4"/>
  <c r="AG25" i="4"/>
  <c r="AG26" i="4"/>
  <c r="AG27" i="4"/>
  <c r="AG28" i="4"/>
  <c r="AG29" i="4"/>
  <c r="AG30" i="4"/>
  <c r="AG31" i="4"/>
  <c r="AG32" i="4"/>
  <c r="AG33" i="4"/>
  <c r="AG34" i="4"/>
  <c r="AG35" i="4"/>
  <c r="AG36" i="4"/>
  <c r="AG37" i="4"/>
  <c r="AG38" i="4"/>
  <c r="AG39" i="4"/>
  <c r="AG40" i="4"/>
  <c r="AG41" i="4"/>
  <c r="AG42" i="4"/>
  <c r="AG43" i="4"/>
  <c r="AG44" i="4"/>
  <c r="AG45" i="4"/>
  <c r="AG46" i="4"/>
  <c r="AG47" i="4"/>
  <c r="AG48" i="4"/>
  <c r="AG49" i="4"/>
  <c r="AG50" i="4"/>
  <c r="AG51" i="4"/>
  <c r="AG52" i="4"/>
  <c r="AG53" i="4"/>
  <c r="AG54" i="4"/>
  <c r="AG55" i="4"/>
  <c r="AG56" i="4"/>
  <c r="AG57" i="4"/>
  <c r="AG58" i="4"/>
  <c r="AG59" i="4"/>
  <c r="AG60" i="4"/>
  <c r="AG61" i="4"/>
  <c r="AG62" i="4"/>
  <c r="AG63" i="4"/>
  <c r="AG64" i="4"/>
  <c r="AG65" i="4"/>
  <c r="AG66" i="4"/>
  <c r="AG67" i="4"/>
  <c r="AG68" i="4"/>
  <c r="AG69" i="4"/>
  <c r="AG70" i="4"/>
  <c r="AG71" i="4"/>
  <c r="AG72" i="4"/>
  <c r="AG73" i="4"/>
  <c r="AG74" i="4"/>
  <c r="AG75" i="4"/>
  <c r="AG76" i="4"/>
  <c r="AG77" i="4"/>
  <c r="AG78" i="4"/>
  <c r="AG79" i="4"/>
  <c r="AG80" i="4"/>
  <c r="AG81" i="4"/>
  <c r="AG82" i="4"/>
  <c r="AG83" i="4"/>
  <c r="AG84" i="4"/>
  <c r="AG85" i="4"/>
  <c r="AG86" i="4"/>
  <c r="AG87" i="4"/>
  <c r="AG88" i="4"/>
  <c r="AG89" i="4"/>
  <c r="AG90" i="4"/>
  <c r="AG91" i="4"/>
  <c r="AG92" i="4"/>
  <c r="AG93" i="4"/>
  <c r="AG94" i="4"/>
  <c r="AG95" i="4"/>
  <c r="AG96" i="4"/>
  <c r="AG97" i="4"/>
  <c r="AG98" i="4"/>
  <c r="AG99" i="4"/>
  <c r="AG100" i="4"/>
  <c r="AG101" i="4"/>
  <c r="AG102" i="4"/>
  <c r="AG103" i="4"/>
  <c r="AG104" i="4"/>
  <c r="AG105" i="4"/>
  <c r="AG106" i="4"/>
  <c r="AG107" i="4"/>
  <c r="AG108" i="4"/>
  <c r="AG109" i="4"/>
  <c r="AG110" i="4"/>
  <c r="AG111" i="4"/>
  <c r="AG112" i="4"/>
  <c r="AG113" i="4"/>
  <c r="AG114" i="4"/>
  <c r="AG115" i="4"/>
  <c r="AG116" i="4"/>
  <c r="AG117" i="4"/>
  <c r="AG118" i="4"/>
  <c r="AG119" i="4"/>
  <c r="AG120" i="4"/>
  <c r="AG121" i="4"/>
  <c r="AG122" i="4"/>
  <c r="AG123" i="4"/>
  <c r="AG124" i="4"/>
  <c r="AG125" i="4"/>
  <c r="AG126" i="4"/>
  <c r="AG127" i="4"/>
  <c r="AG128" i="4"/>
  <c r="AG129" i="4"/>
  <c r="AG130" i="4"/>
  <c r="AG131" i="4"/>
  <c r="AG132" i="4"/>
  <c r="AG133" i="4"/>
  <c r="AG134" i="4"/>
  <c r="AG135" i="4"/>
  <c r="AG136" i="4"/>
  <c r="AG137" i="4"/>
  <c r="AG138" i="4"/>
  <c r="AG139" i="4"/>
  <c r="AG140" i="4"/>
  <c r="AG141" i="4"/>
  <c r="AG142" i="4"/>
  <c r="AG143" i="4"/>
  <c r="AG144" i="4"/>
  <c r="AG145" i="4"/>
  <c r="AG146" i="4"/>
  <c r="AG147" i="4"/>
  <c r="AG148" i="4"/>
  <c r="AG149" i="4"/>
  <c r="AG150" i="4"/>
  <c r="AG151" i="4"/>
  <c r="AG152" i="4"/>
  <c r="AG153" i="4"/>
  <c r="AG154" i="4"/>
  <c r="R9" i="4" l="1" a="1"/>
  <c r="R9" i="4" s="1"/>
  <c r="R11" i="4" a="1"/>
  <c r="R11" i="4" s="1"/>
  <c r="R8" i="4" a="1"/>
  <c r="R8" i="4" s="1"/>
  <c r="R4" i="4" a="1"/>
  <c r="R4" i="4" s="1"/>
  <c r="R6" i="4" a="1"/>
  <c r="R6" i="4" s="1"/>
  <c r="Q10" i="4"/>
  <c r="R3" i="4" a="1"/>
  <c r="R3" i="4" s="1"/>
  <c r="Q4" i="4"/>
  <c r="Q5" i="4"/>
  <c r="Q9" i="4"/>
  <c r="Q6" i="4"/>
  <c r="Q7" i="4"/>
  <c r="Q3" i="4"/>
  <c r="Q8" i="4"/>
  <c r="Q11" i="4"/>
  <c r="Q14" i="4"/>
  <c r="Q16" i="4"/>
  <c r="Q13" i="4"/>
  <c r="Q15" i="4"/>
  <c r="Q12" i="4"/>
  <c r="Q17" i="4"/>
  <c r="R7" i="4" a="1"/>
  <c r="R7" i="4" s="1"/>
  <c r="R10" i="4" a="1"/>
  <c r="R10" i="4" s="1"/>
  <c r="R13" i="4" a="1"/>
  <c r="R13" i="4" s="1"/>
  <c r="R5" i="4" a="1"/>
  <c r="R5" i="4" s="1"/>
  <c r="R12" i="4" a="1"/>
  <c r="R12" i="4" s="1"/>
  <c r="K13" i="3"/>
  <c r="K14" i="3"/>
  <c r="K15" i="3"/>
  <c r="K16" i="3"/>
  <c r="K25" i="3"/>
  <c r="K26" i="3"/>
  <c r="K27" i="3"/>
  <c r="K28" i="3"/>
  <c r="F14" i="2"/>
  <c r="C14" i="2" s="1"/>
  <c r="F15" i="2"/>
  <c r="B15" i="2" s="1"/>
  <c r="F19" i="2"/>
  <c r="B19" i="2" s="1"/>
  <c r="F10" i="2"/>
  <c r="C10" i="2" s="1"/>
  <c r="F11" i="2"/>
  <c r="C11" i="2" s="1"/>
  <c r="F12" i="2"/>
  <c r="C12" i="2" s="1"/>
  <c r="F13" i="2"/>
  <c r="C13" i="2" s="1"/>
  <c r="K20" i="2"/>
  <c r="AS3" i="4" l="1"/>
  <c r="AS4" i="4"/>
  <c r="AS5" i="4"/>
  <c r="B13" i="2"/>
  <c r="B12" i="2"/>
  <c r="B14" i="2"/>
  <c r="B11" i="2"/>
  <c r="AM4" i="4"/>
  <c r="F20" i="2"/>
  <c r="B10" i="2"/>
  <c r="AU20" i="4" l="1"/>
  <c r="AT20" i="4"/>
  <c r="AU18" i="4"/>
  <c r="AT18" i="4"/>
  <c r="AU4" i="4"/>
  <c r="AT4" i="4"/>
  <c r="AU17" i="4"/>
  <c r="AT17" i="4"/>
  <c r="AU7" i="4"/>
  <c r="AT7" i="4"/>
  <c r="AT5" i="4"/>
  <c r="AU5" i="4"/>
  <c r="AM10" i="4"/>
  <c r="AO10" i="4" s="1"/>
  <c r="AM26" i="4"/>
  <c r="AO26" i="4" s="1"/>
  <c r="AM18" i="4"/>
  <c r="AN18" i="4" s="1"/>
  <c r="AM17" i="4"/>
  <c r="AO17" i="4" s="1"/>
  <c r="AM9" i="4"/>
  <c r="AO9" i="4" s="1"/>
  <c r="AM8" i="4"/>
  <c r="AN8" i="4" s="1"/>
  <c r="AM23" i="4"/>
  <c r="AO23" i="4" s="1"/>
  <c r="AM15" i="4"/>
  <c r="AN15" i="4" s="1"/>
  <c r="AM22" i="4"/>
  <c r="AN22" i="4" s="1"/>
  <c r="AM21" i="4"/>
  <c r="AN21" i="4" s="1"/>
  <c r="AM13" i="4"/>
  <c r="AN13" i="4" s="1"/>
  <c r="AM25" i="4"/>
  <c r="AN25" i="4" s="1"/>
  <c r="AM7" i="4"/>
  <c r="AN7" i="4" s="1"/>
  <c r="AM5" i="4"/>
  <c r="AN5" i="4" s="1"/>
  <c r="AM20" i="4"/>
  <c r="AN20" i="4" s="1"/>
  <c r="AM12" i="4"/>
  <c r="AN12" i="4" s="1"/>
  <c r="AM24" i="4"/>
  <c r="AO24" i="4" s="1"/>
  <c r="AM14" i="4"/>
  <c r="AO14" i="4" s="1"/>
  <c r="AM19" i="4"/>
  <c r="AN19" i="4" s="1"/>
  <c r="AM16" i="4"/>
  <c r="AN16" i="4" s="1"/>
  <c r="AM6" i="4"/>
  <c r="AN6" i="4" s="1"/>
  <c r="AM3" i="4"/>
  <c r="AO3" i="4" s="1"/>
  <c r="AM11" i="4"/>
  <c r="AO11" i="4" s="1"/>
  <c r="B20" i="2"/>
  <c r="K52" i="3" s="1"/>
  <c r="R52" i="3" s="1"/>
  <c r="AN4" i="4"/>
  <c r="AO4" i="4"/>
  <c r="AV18" i="4" l="1"/>
  <c r="AV20" i="4"/>
  <c r="AV4" i="4"/>
  <c r="AV5" i="4"/>
  <c r="AN26" i="4"/>
  <c r="AV17" i="4"/>
  <c r="AU26" i="4"/>
  <c r="AT26" i="4"/>
  <c r="AU25" i="4"/>
  <c r="AT25" i="4"/>
  <c r="AU10" i="4"/>
  <c r="AT10" i="4"/>
  <c r="AT13" i="4"/>
  <c r="AU13" i="4"/>
  <c r="AU24" i="4"/>
  <c r="AT24" i="4"/>
  <c r="AU19" i="4"/>
  <c r="AT19" i="4"/>
  <c r="AU15" i="4"/>
  <c r="AT15" i="4"/>
  <c r="AU14" i="4"/>
  <c r="AT14" i="4"/>
  <c r="AU16" i="4"/>
  <c r="AT16" i="4"/>
  <c r="AU9" i="4"/>
  <c r="AT9" i="4"/>
  <c r="AU8" i="4"/>
  <c r="AT8" i="4"/>
  <c r="AT21" i="4"/>
  <c r="AU21" i="4"/>
  <c r="AU23" i="4"/>
  <c r="AT23" i="4"/>
  <c r="AU22" i="4"/>
  <c r="AT22" i="4"/>
  <c r="AT12" i="4"/>
  <c r="AU12" i="4"/>
  <c r="AV7" i="4"/>
  <c r="AU3" i="4"/>
  <c r="AT3" i="4"/>
  <c r="AU6" i="4"/>
  <c r="AT6" i="4"/>
  <c r="AU11" i="4"/>
  <c r="AT11" i="4"/>
  <c r="AN10" i="4"/>
  <c r="AP10" i="4" s="1"/>
  <c r="AO8" i="4"/>
  <c r="AN9" i="4"/>
  <c r="AP9" i="4" s="1"/>
  <c r="AO7" i="4"/>
  <c r="AP7" i="4" s="1"/>
  <c r="AO6" i="4"/>
  <c r="AP6" i="4" s="1"/>
  <c r="AO18" i="4"/>
  <c r="AP18" i="4" s="1"/>
  <c r="AN23" i="4"/>
  <c r="AP23" i="4" s="1"/>
  <c r="AN24" i="4"/>
  <c r="AP24" i="4" s="1"/>
  <c r="AO15" i="4"/>
  <c r="AP15" i="4" s="1"/>
  <c r="AN3" i="4"/>
  <c r="AP3" i="4" s="1"/>
  <c r="AO19" i="4"/>
  <c r="AP19" i="4" s="1"/>
  <c r="AN17" i="4"/>
  <c r="AP17" i="4" s="1"/>
  <c r="K63" i="3"/>
  <c r="R63" i="3" s="1"/>
  <c r="AN11" i="4"/>
  <c r="AP11" i="4" s="1"/>
  <c r="AN14" i="4"/>
  <c r="AP14" i="4" s="1"/>
  <c r="AO21" i="4"/>
  <c r="AP21" i="4" s="1"/>
  <c r="AO12" i="4"/>
  <c r="AP12" i="4" s="1"/>
  <c r="AO22" i="4"/>
  <c r="AP22" i="4" s="1"/>
  <c r="AO5" i="4"/>
  <c r="AP5" i="4" s="1"/>
  <c r="AO25" i="4"/>
  <c r="AP25" i="4" s="1"/>
  <c r="K57" i="3"/>
  <c r="P57" i="3" s="1"/>
  <c r="K54" i="3"/>
  <c r="K72" i="3"/>
  <c r="P72" i="3" s="1"/>
  <c r="K69" i="3"/>
  <c r="P69" i="3" s="1"/>
  <c r="K64" i="3"/>
  <c r="P64" i="3" s="1"/>
  <c r="K56" i="3"/>
  <c r="AO16" i="4"/>
  <c r="AP16" i="4" s="1"/>
  <c r="AO20" i="4"/>
  <c r="AP20" i="4" s="1"/>
  <c r="AO13" i="4"/>
  <c r="AP13" i="4" s="1"/>
  <c r="K74" i="3"/>
  <c r="R74" i="3" s="1"/>
  <c r="K66" i="3"/>
  <c r="P66" i="3" s="1"/>
  <c r="K55" i="3"/>
  <c r="R55" i="3" s="1"/>
  <c r="K58" i="3"/>
  <c r="P58" i="3" s="1"/>
  <c r="K61" i="3"/>
  <c r="P61" i="3" s="1"/>
  <c r="K59" i="3"/>
  <c r="R59" i="3" s="1"/>
  <c r="K65" i="3"/>
  <c r="P65" i="3" s="1"/>
  <c r="K53" i="3"/>
  <c r="R53" i="3" s="1"/>
  <c r="K73" i="3"/>
  <c r="P73" i="3" s="1"/>
  <c r="K71" i="3"/>
  <c r="P71" i="3" s="1"/>
  <c r="K68" i="3"/>
  <c r="P68" i="3" s="1"/>
  <c r="K70" i="3"/>
  <c r="R70" i="3" s="1"/>
  <c r="K60" i="3"/>
  <c r="P60" i="3" s="1"/>
  <c r="K67" i="3"/>
  <c r="P67" i="3" s="1"/>
  <c r="K62" i="3"/>
  <c r="P62" i="3" s="1"/>
  <c r="AP8" i="4"/>
  <c r="AP26" i="4"/>
  <c r="AP4" i="4"/>
  <c r="AV23" i="4" l="1"/>
  <c r="AV16" i="4"/>
  <c r="AV24" i="4"/>
  <c r="AV26" i="4"/>
  <c r="AV8" i="4"/>
  <c r="AV15" i="4"/>
  <c r="AV22" i="4"/>
  <c r="AV9" i="4"/>
  <c r="AV19" i="4"/>
  <c r="AV25" i="4"/>
  <c r="AV10" i="4"/>
  <c r="AV21" i="4"/>
  <c r="AV13" i="4"/>
  <c r="AV11" i="4"/>
  <c r="AV12" i="4"/>
  <c r="AV6" i="4"/>
  <c r="AV3" i="4"/>
  <c r="AV14" i="4"/>
  <c r="R69" i="3"/>
  <c r="R54" i="3"/>
  <c r="P74" i="3"/>
  <c r="R71" i="3"/>
  <c r="R66" i="3"/>
  <c r="R72" i="3"/>
  <c r="R62" i="3"/>
  <c r="P63" i="3"/>
  <c r="R73" i="3"/>
  <c r="R65" i="3"/>
  <c r="S60" i="3"/>
  <c r="M60" i="3"/>
  <c r="R68" i="3"/>
  <c r="R67" i="3"/>
  <c r="P70" i="3"/>
  <c r="R56" i="3"/>
  <c r="R61" i="3"/>
  <c r="N60" i="3"/>
  <c r="P59" i="3"/>
  <c r="T60" i="3"/>
  <c r="R60" i="3"/>
  <c r="U60" i="3"/>
  <c r="R58" i="3"/>
  <c r="R64" i="3"/>
  <c r="R57" i="3"/>
  <c r="U74" i="3"/>
  <c r="S52" i="3"/>
  <c r="U69" i="3"/>
  <c r="M62" i="3"/>
  <c r="S53" i="3"/>
  <c r="T73" i="3"/>
  <c r="S56" i="3"/>
  <c r="T66" i="3"/>
  <c r="S54" i="3"/>
  <c r="M68" i="3"/>
  <c r="S59" i="3"/>
  <c r="M72" i="3"/>
  <c r="S55" i="3"/>
  <c r="U65" i="3"/>
  <c r="M67" i="3"/>
  <c r="S58" i="3"/>
  <c r="T61" i="3"/>
  <c r="M70" i="3"/>
  <c r="S57" i="3"/>
  <c r="T63" i="3"/>
  <c r="N71" i="3"/>
  <c r="T64" i="3"/>
  <c r="N67" i="3"/>
  <c r="S67" i="3"/>
  <c r="S65" i="3"/>
  <c r="T65" i="3"/>
  <c r="N65" i="3"/>
  <c r="T67" i="3"/>
  <c r="M65" i="3"/>
  <c r="U67" i="3"/>
  <c r="S72" i="3"/>
  <c r="T70" i="3"/>
  <c r="S71" i="3"/>
  <c r="N64" i="3"/>
  <c r="U64" i="3"/>
  <c r="M64" i="3"/>
  <c r="M71" i="3"/>
  <c r="S64" i="3"/>
  <c r="U72" i="3"/>
  <c r="S61" i="3"/>
  <c r="N70" i="3"/>
  <c r="N72" i="3"/>
  <c r="T72" i="3"/>
  <c r="M66" i="3"/>
  <c r="U68" i="3"/>
  <c r="N68" i="3"/>
  <c r="S68" i="3"/>
  <c r="U66" i="3"/>
  <c r="S66" i="3"/>
  <c r="S62" i="3"/>
  <c r="N61" i="3"/>
  <c r="M61" i="3"/>
  <c r="U61" i="3"/>
  <c r="U70" i="3"/>
  <c r="S63" i="3"/>
  <c r="U71" i="3"/>
  <c r="U63" i="3"/>
  <c r="T68" i="3"/>
  <c r="N63" i="3"/>
  <c r="N74" i="3"/>
  <c r="N73" i="3"/>
  <c r="M73" i="3"/>
  <c r="S73" i="3"/>
  <c r="N66" i="3"/>
  <c r="M63" i="3"/>
  <c r="T62" i="3"/>
  <c r="U73" i="3"/>
  <c r="N62" i="3"/>
  <c r="U62" i="3"/>
  <c r="T69" i="3"/>
  <c r="S69" i="3"/>
  <c r="M69" i="3"/>
  <c r="T74" i="3"/>
  <c r="N69" i="3"/>
  <c r="S74" i="3"/>
  <c r="S70" i="3"/>
  <c r="M74" i="3"/>
  <c r="T71" i="3"/>
  <c r="O60" i="3" l="1"/>
  <c r="Q60" i="3" s="1"/>
  <c r="O72" i="3"/>
  <c r="Q72" i="3" s="1"/>
  <c r="O67" i="3"/>
  <c r="Q67" i="3" s="1"/>
  <c r="O70" i="3"/>
  <c r="O64" i="3"/>
  <c r="O71" i="3"/>
  <c r="Q71" i="3" s="1"/>
  <c r="O65" i="3"/>
  <c r="O73" i="3"/>
  <c r="O68" i="3"/>
  <c r="O69" i="3"/>
  <c r="O66" i="3"/>
  <c r="O61" i="3"/>
  <c r="O74" i="3"/>
  <c r="T52" i="3"/>
  <c r="U52" i="3" s="1"/>
  <c r="M52" i="3" s="1"/>
  <c r="T56" i="3"/>
  <c r="U56" i="3" s="1"/>
  <c r="M56" i="3" s="1"/>
  <c r="T57" i="3"/>
  <c r="U57" i="3" s="1"/>
  <c r="N57" i="3" s="1"/>
  <c r="O63" i="3"/>
  <c r="T54" i="3"/>
  <c r="U54" i="3" s="1"/>
  <c r="O62" i="3"/>
  <c r="T53" i="3"/>
  <c r="U53" i="3" s="1"/>
  <c r="N53" i="3" s="1"/>
  <c r="T58" i="3"/>
  <c r="U58" i="3" s="1"/>
  <c r="N58" i="3" s="1"/>
  <c r="T59" i="3"/>
  <c r="U59" i="3" s="1"/>
  <c r="N59" i="3" s="1"/>
  <c r="T55" i="3"/>
  <c r="U55" i="3" s="1"/>
  <c r="N55" i="3" s="1"/>
  <c r="Q64" i="3" l="1"/>
  <c r="Q68" i="3"/>
  <c r="Q65" i="3"/>
  <c r="Q70" i="3"/>
  <c r="Q73" i="3"/>
  <c r="Q69" i="3"/>
  <c r="Q61" i="3"/>
  <c r="N56" i="3"/>
  <c r="P56" i="3" s="1"/>
  <c r="N52" i="3"/>
  <c r="P52" i="3" s="1"/>
  <c r="Q74" i="3"/>
  <c r="Q66" i="3"/>
  <c r="Q63" i="3"/>
  <c r="M57" i="3"/>
  <c r="M53" i="3"/>
  <c r="P53" i="3" s="1"/>
  <c r="Q62" i="3"/>
  <c r="M59" i="3"/>
  <c r="M58" i="3"/>
  <c r="M55" i="3"/>
  <c r="P55" i="3" s="1"/>
  <c r="N54" i="3"/>
  <c r="M54" i="3"/>
  <c r="P54" i="3" l="1"/>
  <c r="O57" i="3"/>
  <c r="Q57" i="3" s="1"/>
  <c r="O56" i="3"/>
  <c r="O52" i="3"/>
  <c r="O53" i="3"/>
  <c r="O59" i="3"/>
  <c r="Q59" i="3" s="1"/>
  <c r="O55" i="3"/>
  <c r="O58" i="3"/>
  <c r="Q58" i="3" s="1"/>
  <c r="O54" i="3"/>
  <c r="Q53" i="3" l="1"/>
  <c r="Q52" i="3"/>
  <c r="Q56" i="3"/>
  <c r="Q55" i="3"/>
  <c r="Q54" i="3"/>
  <c r="K42" i="3" l="1"/>
  <c r="K43" i="3"/>
  <c r="K48" i="3"/>
  <c r="K39" i="3"/>
  <c r="K44" i="3"/>
  <c r="K47" i="3"/>
  <c r="K45" i="3"/>
  <c r="K41" i="3"/>
  <c r="K40" i="3"/>
  <c r="K46" i="3"/>
  <c r="M45" i="3" l="1"/>
  <c r="N45" i="3"/>
  <c r="N47" i="3"/>
  <c r="M47" i="3"/>
  <c r="M42" i="3"/>
  <c r="N42" i="3"/>
  <c r="O42" i="3" s="1"/>
  <c r="N39" i="3"/>
  <c r="M39" i="3"/>
  <c r="N41" i="3"/>
  <c r="M41" i="3"/>
  <c r="N48" i="3"/>
  <c r="M48" i="3"/>
  <c r="N40" i="3"/>
  <c r="M40" i="3"/>
  <c r="N44" i="3"/>
  <c r="M44" i="3"/>
  <c r="M46" i="3"/>
  <c r="N46" i="3"/>
  <c r="M43" i="3"/>
  <c r="N43" i="3"/>
  <c r="P47" i="3"/>
  <c r="Q47" i="3"/>
  <c r="O47" i="3"/>
  <c r="Q44" i="3"/>
  <c r="P44" i="3"/>
  <c r="O44" i="3"/>
  <c r="Q46" i="3"/>
  <c r="O46" i="3"/>
  <c r="P46" i="3"/>
  <c r="O48" i="3"/>
  <c r="Q48" i="3"/>
  <c r="P48" i="3"/>
  <c r="P45" i="3"/>
  <c r="O45" i="3"/>
  <c r="Q45" i="3"/>
  <c r="P43" i="3" l="1"/>
  <c r="O43" i="3"/>
  <c r="Q43" i="3" s="1"/>
  <c r="P42" i="3"/>
  <c r="Q42" i="3" s="1"/>
  <c r="P41" i="3"/>
  <c r="O41" i="3"/>
  <c r="P40" i="3"/>
  <c r="O40" i="3"/>
  <c r="O39" i="3"/>
  <c r="P39" i="3"/>
  <c r="Q41" i="3" l="1"/>
  <c r="Q40" i="3"/>
  <c r="Q39" i="3"/>
  <c r="Q34" i="3" l="1"/>
  <c r="S29" i="3"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<sst xmlns="http://schemas.openxmlformats.org/spreadsheetml/2006/main" count="2987" uniqueCount="1391">
  <si>
    <t>Date of Submission</t>
  </si>
  <si>
    <t>Organization Name</t>
  </si>
  <si>
    <t>Primary Contact Name</t>
  </si>
  <si>
    <t>Primary Contact Position</t>
  </si>
  <si>
    <t>Primary Contact Number</t>
  </si>
  <si>
    <t>Primary Contact Email</t>
  </si>
  <si>
    <t>Index</t>
  </si>
  <si>
    <t>Description</t>
  </si>
  <si>
    <t>Details</t>
  </si>
  <si>
    <t>Functional Centre</t>
  </si>
  <si>
    <t>Forecasted Surplus</t>
  </si>
  <si>
    <t>Service Activity</t>
  </si>
  <si>
    <t>Case Management/Supportive Counselling &amp; Services – Mental Health 72 5 09 76</t>
  </si>
  <si>
    <t>Visits</t>
  </si>
  <si>
    <t>Total Forecasted Surplus</t>
  </si>
  <si>
    <t>HSP Information</t>
  </si>
  <si>
    <t>Section 1</t>
  </si>
  <si>
    <t>Amount $</t>
  </si>
  <si>
    <t>TPBE</t>
  </si>
  <si>
    <t>Amount</t>
  </si>
  <si>
    <t>Functional Centre Name and Number</t>
  </si>
  <si>
    <t>Signatory Name (Typed/Printed)</t>
  </si>
  <si>
    <t>Request to Use Forecasted Surplus Funds</t>
  </si>
  <si>
    <t>Section 2</t>
  </si>
  <si>
    <t>CMHP</t>
  </si>
  <si>
    <t>ABI</t>
  </si>
  <si>
    <t>Acquired Brain Injury</t>
  </si>
  <si>
    <t>AO</t>
  </si>
  <si>
    <t>Attendant Outreach</t>
  </si>
  <si>
    <t>CMH</t>
  </si>
  <si>
    <t>Childrens' Mental Health</t>
  </si>
  <si>
    <t>Community Mental Health Program</t>
  </si>
  <si>
    <t>CSS</t>
  </si>
  <si>
    <t>Community Support Services</t>
  </si>
  <si>
    <t>PALC</t>
  </si>
  <si>
    <t>Palliative Care</t>
  </si>
  <si>
    <t>PG</t>
  </si>
  <si>
    <t>Problem Gambling</t>
  </si>
  <si>
    <t>SAP</t>
  </si>
  <si>
    <t>Substance Abuse Program</t>
  </si>
  <si>
    <t>SH</t>
  </si>
  <si>
    <t>Supportive Housing</t>
  </si>
  <si>
    <t>FC Description</t>
  </si>
  <si>
    <t>FC ID</t>
  </si>
  <si>
    <t>Administration and Support Services</t>
  </si>
  <si>
    <t>72 1</t>
  </si>
  <si>
    <t>LAB Pre/Post Analysis</t>
  </si>
  <si>
    <t>72 4 10 21</t>
  </si>
  <si>
    <t>MI Combined Functions</t>
  </si>
  <si>
    <t>72 4 15 99</t>
  </si>
  <si>
    <t>NV Non - Invasive Cardiology - Combined</t>
  </si>
  <si>
    <t>72 4 30 20 99</t>
  </si>
  <si>
    <t>Clinical Management</t>
  </si>
  <si>
    <t>72 5 05</t>
  </si>
  <si>
    <t>Medical Resources</t>
  </si>
  <si>
    <t>72 5 07</t>
  </si>
  <si>
    <t>CMH&amp;A Centralized/Coordinated Access</t>
  </si>
  <si>
    <t>72 5 08</t>
  </si>
  <si>
    <t>Case Management (CCAC)</t>
  </si>
  <si>
    <t>72 5 09 30</t>
  </si>
  <si>
    <t>Case Management/Supportive Counselling &amp; Services - Mental Health</t>
  </si>
  <si>
    <t>72 5 09 76</t>
  </si>
  <si>
    <t>Case Management/Supportive Counselling &amp; Services - Addictions Supportive Housing</t>
  </si>
  <si>
    <t>72 5 09 78 10</t>
  </si>
  <si>
    <t>Case Management Addictions - Substance Abuse</t>
  </si>
  <si>
    <t>72 5 09 78 11</t>
  </si>
  <si>
    <t>Clinics/Programs - Primary Care Practice</t>
  </si>
  <si>
    <t>72 5 10 05</t>
  </si>
  <si>
    <t>Clinics/Programs - Walk In Clinic</t>
  </si>
  <si>
    <t>72 5 10 10</t>
  </si>
  <si>
    <t>Clinics/Programs - Nursing Clinic</t>
  </si>
  <si>
    <t>72 5 10 15</t>
  </si>
  <si>
    <t>Clinics/Programs - General Clinic</t>
  </si>
  <si>
    <t>72 5 10 20</t>
  </si>
  <si>
    <t>Clinics/Programs - Combined Clinic</t>
  </si>
  <si>
    <t>72 5 10 30</t>
  </si>
  <si>
    <t>Clinics/Programs - Therapy Clinic - General</t>
  </si>
  <si>
    <t>72 5 10 40 10</t>
  </si>
  <si>
    <t>Clinics/Programs - Therapy Clinic - Foot Care</t>
  </si>
  <si>
    <t>72 5 10 40 20</t>
  </si>
  <si>
    <t>Clinics/Programs - Therapy Clinic - Naturopathy</t>
  </si>
  <si>
    <t>72 5 10 40 30</t>
  </si>
  <si>
    <t>Clinics/Programs - Therapy Clinic - Pharmacy</t>
  </si>
  <si>
    <t>72 5 10 40 40</t>
  </si>
  <si>
    <t>Clinics/Programs - Therapy Clinic - Nutrition</t>
  </si>
  <si>
    <t>72 5 10 40 45</t>
  </si>
  <si>
    <t>Clinics/Programs - Therapy Clinic - Physiotherapy</t>
  </si>
  <si>
    <t>72 5 10 40 50</t>
  </si>
  <si>
    <t>Clinics/Programs - Therapy Clinic - Occupational Therapy</t>
  </si>
  <si>
    <t>72 5 10 40 55</t>
  </si>
  <si>
    <t>Clinics/Programs - Therapy Clinic - Counselling</t>
  </si>
  <si>
    <t>72 5 10 40 60</t>
  </si>
  <si>
    <t>Clinics/Programs - Therapy Clinic - Speech and Language Pathology</t>
  </si>
  <si>
    <t>72 5 10 40 62</t>
  </si>
  <si>
    <t>Clinics/Programs - Therapy Clinic - Massage Therapy</t>
  </si>
  <si>
    <t>72 5 10 40 64</t>
  </si>
  <si>
    <t>Clinics/Programs – Oral Health Clinic</t>
  </si>
  <si>
    <t>72 5 10 45</t>
  </si>
  <si>
    <t>Clinics/Programs – Chronic Disease Clinic - General Clinic</t>
  </si>
  <si>
    <t>72 5 10 50 10</t>
  </si>
  <si>
    <t>Clinics/Programs – Chronic Disease Clinic - Diabetes Clinic</t>
  </si>
  <si>
    <t>72 5 10 50 20</t>
  </si>
  <si>
    <t xml:space="preserve">COM Clinics/Programs - Chronic Disease – Asthma/COPD Clinic 
</t>
  </si>
  <si>
    <t>72 5 10 50 30</t>
  </si>
  <si>
    <t>Clinics/Programs – Chronic Disease Clinic - Hepatitis C and/or HIV/AIDS Clinic</t>
  </si>
  <si>
    <t>72 5 10 50 40</t>
  </si>
  <si>
    <t>Clinics/Programs - Chronic Disease – Cardiac Rehabilitation Clinic</t>
  </si>
  <si>
    <t>72 5 10 50 50</t>
  </si>
  <si>
    <t>Clinics/Programs – CHC Other Clinic</t>
  </si>
  <si>
    <t>72 5 10 55</t>
  </si>
  <si>
    <t>Clinics/Programs - Oncology - Treatment Outreach Clinic</t>
  </si>
  <si>
    <t>72 5 10 66 10</t>
  </si>
  <si>
    <t>Clinics/Programs - Oncology - Preventative Clinics</t>
  </si>
  <si>
    <t>72 5 10 66 20</t>
  </si>
  <si>
    <t>Clinics/Programs - MH Counseling and Treatment</t>
  </si>
  <si>
    <t>72 5 10 76 12</t>
  </si>
  <si>
    <t>MH Assertive Community Treatment Teams</t>
  </si>
  <si>
    <t>72 5 10 76 20</t>
  </si>
  <si>
    <t>MH Community Clinic</t>
  </si>
  <si>
    <t>72 5 10 76 30</t>
  </si>
  <si>
    <t>MH Vocational/Employment</t>
  </si>
  <si>
    <t>72 5 10 76 40</t>
  </si>
  <si>
    <t>MH Clubhouses</t>
  </si>
  <si>
    <t>72 5 10 76 41</t>
  </si>
  <si>
    <t>MH Child/Adolescent</t>
  </si>
  <si>
    <t>72 5 10 76 50</t>
  </si>
  <si>
    <t>MH Early Intervention</t>
  </si>
  <si>
    <t>72 5 10 76 51</t>
  </si>
  <si>
    <t>MH Forensic</t>
  </si>
  <si>
    <t>72 5 10 76 55</t>
  </si>
  <si>
    <t>MH Diversion and Court Support</t>
  </si>
  <si>
    <t>72 5 10 76 56</t>
  </si>
  <si>
    <t>MH Abuse Services</t>
  </si>
  <si>
    <t>72 5 10 76 60</t>
  </si>
  <si>
    <t>MH Eating Disorders</t>
  </si>
  <si>
    <t>72 5 10 76 70</t>
  </si>
  <si>
    <t>MH Social Rehab./Recreation</t>
  </si>
  <si>
    <t>72 5 10 76 81</t>
  </si>
  <si>
    <t>MH Psycho-geriatric</t>
  </si>
  <si>
    <t>72 5 10 76 96</t>
  </si>
  <si>
    <t>Other MH Services not elsewhere identified</t>
  </si>
  <si>
    <t>72 5 10 76 99</t>
  </si>
  <si>
    <t>Addictions Treatment-Substance Abuse</t>
  </si>
  <si>
    <t>72 5 10 78 11</t>
  </si>
  <si>
    <t>Addictions Treatment-Problem Gambling</t>
  </si>
  <si>
    <t>72 5 10 78 12</t>
  </si>
  <si>
    <t>Addictions Withdrawal Mgmt.</t>
  </si>
  <si>
    <t>72 5 10 78 20</t>
  </si>
  <si>
    <t>Crisis Intervention - Hot Lines</t>
  </si>
  <si>
    <t>72 5 15 10</t>
  </si>
  <si>
    <t>Crisis Intervention - Abuse Services</t>
  </si>
  <si>
    <t>72 5 15 15</t>
  </si>
  <si>
    <t>Crisis Intervention - Quick Response</t>
  </si>
  <si>
    <t>72 5 15 20</t>
  </si>
  <si>
    <t>Crisis Intervention - Victim Services</t>
  </si>
  <si>
    <t>72 5 15 25</t>
  </si>
  <si>
    <t>Crisis Intervention - Combined</t>
  </si>
  <si>
    <t>72 5 15 30</t>
  </si>
  <si>
    <t>Crisis Intervention - Mental Health</t>
  </si>
  <si>
    <t>72 5 15 76</t>
  </si>
  <si>
    <t>Day/Night Combined</t>
  </si>
  <si>
    <t>72 5 20 30</t>
  </si>
  <si>
    <t>Day/Night Care Mental Health General</t>
  </si>
  <si>
    <t>72 5 20 76 10</t>
  </si>
  <si>
    <t>Day/Night Care MH Eating Disorders</t>
  </si>
  <si>
    <t>72 5 20 76 70</t>
  </si>
  <si>
    <t>Day/Evening Addictions Treatment</t>
  </si>
  <si>
    <t>72 5 20 78 10</t>
  </si>
  <si>
    <t>Day Care - Rehab Medical</t>
  </si>
  <si>
    <t>72 5 20 81 10</t>
  </si>
  <si>
    <t>Day Care - Rehab Trauma</t>
  </si>
  <si>
    <t>72 5 20 81 28</t>
  </si>
  <si>
    <t>Day Care - Rehab Combined</t>
  </si>
  <si>
    <t>72 5 20 81 30</t>
  </si>
  <si>
    <t>Day Care - Rehab Burn</t>
  </si>
  <si>
    <t>72 5 20 81 35</t>
  </si>
  <si>
    <t>Day Care - Rehab Cardiac</t>
  </si>
  <si>
    <t>72 5 20 81 42</t>
  </si>
  <si>
    <t>Day Care - Rehab Head Injury/Acquired Brain Injury</t>
  </si>
  <si>
    <t>72 5 20 81 61</t>
  </si>
  <si>
    <t>Day Care - Rehab Spinal Cord</t>
  </si>
  <si>
    <t>72 5 20 81 63</t>
  </si>
  <si>
    <t>Day Care - Rehab Oncology</t>
  </si>
  <si>
    <t>72 5 20 81 66</t>
  </si>
  <si>
    <t>Day Care - Rehab Orthopedic</t>
  </si>
  <si>
    <t>72 5 20 81 72</t>
  </si>
  <si>
    <t>Day Care - Rehab Amputee Rehab</t>
  </si>
  <si>
    <t>72 5 20 81 73</t>
  </si>
  <si>
    <t>Day Care - Rehab Care Pediatric</t>
  </si>
  <si>
    <t>72 5 20 81 74</t>
  </si>
  <si>
    <t>Day Care Regional Geriatric</t>
  </si>
  <si>
    <t>72 5 20 96</t>
  </si>
  <si>
    <t>In-Home HPS - Nursing - Visiting</t>
  </si>
  <si>
    <t>72 5 30 40 11</t>
  </si>
  <si>
    <t>In-Home HPS - Nursing - Shift</t>
  </si>
  <si>
    <t>72 5 30 40 12</t>
  </si>
  <si>
    <t>In-Home HPS - Remote – Managed Home Care</t>
  </si>
  <si>
    <t>72 5 30 40 13</t>
  </si>
  <si>
    <t>In-Home HPS – Wound Care Outcome</t>
  </si>
  <si>
    <t>72 5 30 40 20</t>
  </si>
  <si>
    <t>In-Home HPS - Orthopedic Care Outcome</t>
  </si>
  <si>
    <t>72 5 30 40 25</t>
  </si>
  <si>
    <t>In-Home HPS - Respiratory Services</t>
  </si>
  <si>
    <t>72 5 30 40 35</t>
  </si>
  <si>
    <t>In-Home HPS – Medication Management</t>
  </si>
  <si>
    <t>72 5 30 40 40</t>
  </si>
  <si>
    <t>In-Home HPS - Nutrition/Dietetic</t>
  </si>
  <si>
    <t>72 5 30 40 45</t>
  </si>
  <si>
    <t>In-Home HPS - Physiotherapy</t>
  </si>
  <si>
    <t>72 5 30 40 50</t>
  </si>
  <si>
    <t>In-Home HPS - Occupational Therapy</t>
  </si>
  <si>
    <t>72 5 30 40 55</t>
  </si>
  <si>
    <t>In-Home HPS - Speech Lang. Path.</t>
  </si>
  <si>
    <t>72 5 30 40 62</t>
  </si>
  <si>
    <t>In-Home HPS - Social Work</t>
  </si>
  <si>
    <t>72 5 30 40 70</t>
  </si>
  <si>
    <t>In-Home HPS - Psychology</t>
  </si>
  <si>
    <t>72 5 30 40 75</t>
  </si>
  <si>
    <t>Private/Home SHPS - Nursing - Visiting</t>
  </si>
  <si>
    <t>72 5 30 42 11</t>
  </si>
  <si>
    <t>Private/Home SHPS - Nursing - Shift</t>
  </si>
  <si>
    <t>72 5 30 42 12</t>
  </si>
  <si>
    <t>Private/Home SHPS - Nutrition/Dietetic</t>
  </si>
  <si>
    <t>72 5 30 42 45</t>
  </si>
  <si>
    <t>Private/Home SHPS - Physiotherapy</t>
  </si>
  <si>
    <t>72 5 30 42 50</t>
  </si>
  <si>
    <t>Private/Home SHPS - Occupational Therapy</t>
  </si>
  <si>
    <t>72 5 30 42 55</t>
  </si>
  <si>
    <t>Private/Home SHPS - Speech Lang. Path.</t>
  </si>
  <si>
    <t>72 5 30 42 62</t>
  </si>
  <si>
    <t>Public SHPS - Nursing - Visiting</t>
  </si>
  <si>
    <t>72 5 30 44 11</t>
  </si>
  <si>
    <t>Public SHPS - Nursing - Shift</t>
  </si>
  <si>
    <t>72 5 30 44 12</t>
  </si>
  <si>
    <t>Public SHPS - Nutrition/Dietetic</t>
  </si>
  <si>
    <t>72 5 30 44 45</t>
  </si>
  <si>
    <t>Public SHPS - Physiotherapy</t>
  </si>
  <si>
    <t>72 5 30 44 50</t>
  </si>
  <si>
    <t>Public SHPS - Occ. Therapy</t>
  </si>
  <si>
    <t>72 5 30 44 55</t>
  </si>
  <si>
    <t>Public SHPS - Speech Lang. Path.</t>
  </si>
  <si>
    <t>72 5 30 44 62</t>
  </si>
  <si>
    <t>Onlcology Home Care</t>
  </si>
  <si>
    <t>72 5 30 66</t>
  </si>
  <si>
    <t>MH Home Care - Psychiatric Follow-Up</t>
  </si>
  <si>
    <t>72 5 30 76 10</t>
  </si>
  <si>
    <t>MH Home Care - Psychiatric Acute</t>
  </si>
  <si>
    <t>72 5 30 76 25</t>
  </si>
  <si>
    <t>MH Home Care - Child/Adolescent</t>
  </si>
  <si>
    <t>72 5 30 76 50</t>
  </si>
  <si>
    <t>MH Home Care - Forensic Psychiatry</t>
  </si>
  <si>
    <t>72 5 30 76 55</t>
  </si>
  <si>
    <t>MH Home Care - Psychiatric Rehab</t>
  </si>
  <si>
    <t>72 5 30 76 81</t>
  </si>
  <si>
    <t>MH Home Care - Psychiatric Crisis</t>
  </si>
  <si>
    <t>72 5 30 76 90</t>
  </si>
  <si>
    <t>MH Home Care - Longer Term</t>
  </si>
  <si>
    <t>72 5 30 76 95</t>
  </si>
  <si>
    <t>MH Home Care - Geriatric Psych. Assess.</t>
  </si>
  <si>
    <t>72 5 30 76 96</t>
  </si>
  <si>
    <t>Addictions Home Care - Addictions</t>
  </si>
  <si>
    <t>72 5 30 78 10</t>
  </si>
  <si>
    <t>Home Care - Community Paramedicine</t>
  </si>
  <si>
    <t>72 5 30 80 05</t>
  </si>
  <si>
    <t>Dialysis Home Care</t>
  </si>
  <si>
    <t>72 5 30 86</t>
  </si>
  <si>
    <t>Palliative Home Care</t>
  </si>
  <si>
    <t>72 5 30 94</t>
  </si>
  <si>
    <t>In-Home Support - Personal Support</t>
  </si>
  <si>
    <t>72 5 35 40 10</t>
  </si>
  <si>
    <t>In-Home Support - Homemaking Services</t>
  </si>
  <si>
    <t>72 5 35 40 20</t>
  </si>
  <si>
    <t>In-Home Support - Comb. PS and HM Services</t>
  </si>
  <si>
    <t>72 5 35 40 30</t>
  </si>
  <si>
    <t>School Health Personal Support Services (SHPSS)</t>
  </si>
  <si>
    <t>72 5 35 42 10</t>
  </si>
  <si>
    <t>Respite Service</t>
  </si>
  <si>
    <t>72 5 35 45</t>
  </si>
  <si>
    <t>COM – Residential Addiction - Substance Abuse – Rent Supplement Program</t>
  </si>
  <si>
    <t>72 5 40 75 50</t>
  </si>
  <si>
    <t>Res. Mental Health - Homes for Special Care</t>
  </si>
  <si>
    <t>72 5 40 76 10</t>
  </si>
  <si>
    <t>Res. Mental Health - Support within Housing</t>
  </si>
  <si>
    <t>72 5 40 76 30</t>
  </si>
  <si>
    <t>Res. Mental Health - Housing Bricks &amp; Mortar</t>
  </si>
  <si>
    <t>72 5 40 76 40</t>
  </si>
  <si>
    <t>Res. Mental Health - Rent Supplement Program</t>
  </si>
  <si>
    <t>72 5 40 76 50</t>
  </si>
  <si>
    <t>Res. Mental Health - Short Term Crisis Support Beds</t>
  </si>
  <si>
    <t>72 5 40 76 60</t>
  </si>
  <si>
    <t>COM Residential Addiction - Treatment Services-Substance Abuse</t>
  </si>
  <si>
    <t>72 5 40 78 11</t>
  </si>
  <si>
    <t>COM Residential Addiction - Treatment Services-Problem Gambling</t>
  </si>
  <si>
    <t>72 5 40 78 12</t>
  </si>
  <si>
    <t>COM Residential Addiction - Supportive Treatment</t>
  </si>
  <si>
    <t>72 5 40 78 30</t>
  </si>
  <si>
    <t>COM Residential Addictions - Housing Bricks &amp; Mortar</t>
  </si>
  <si>
    <t>72 5 40 78 40</t>
  </si>
  <si>
    <t>COM Residential Addiction - Withdrawal Management Centres</t>
  </si>
  <si>
    <t>72 5 40 78 45</t>
  </si>
  <si>
    <t>Residential Hospice - EOL-Nursing Visiting</t>
  </si>
  <si>
    <t>72 5 40 95 11</t>
  </si>
  <si>
    <t>Residential Hospice - EOL-Nursing Shift</t>
  </si>
  <si>
    <t>72 5 40 95 12</t>
  </si>
  <si>
    <t>Residential Hospice - EOL-Combined PS and HM Services</t>
  </si>
  <si>
    <t>72 5 40 95 30</t>
  </si>
  <si>
    <t>Residential Hospice - EOL-Nutrition/Dietetic</t>
  </si>
  <si>
    <t>72 5 40 95 45</t>
  </si>
  <si>
    <t>Residential Hospice - EOL-Physiotherapy</t>
  </si>
  <si>
    <t>72 5 40 95 50</t>
  </si>
  <si>
    <t>Residential Hospice - EOL-Occupational Therapy</t>
  </si>
  <si>
    <t>72 5 40 95 55</t>
  </si>
  <si>
    <t>Residential Hospice - EOL-Speech Language Pathology</t>
  </si>
  <si>
    <t>72 5 40 95 62</t>
  </si>
  <si>
    <t>Residential Hospice - EOL-Social Work</t>
  </si>
  <si>
    <t>72 5 40 95 70</t>
  </si>
  <si>
    <t>Health Prom/Educ &amp; Dev - General</t>
  </si>
  <si>
    <t>72 5 50 10</t>
  </si>
  <si>
    <t>Health Prom/Educ.&amp; Com. Dev. – Health Promotion &amp; Community Development</t>
  </si>
  <si>
    <t>72 5 50 12</t>
  </si>
  <si>
    <t>Health Prom/Educ. &amp; Com.Dev. – Community Engagement and Capacity Building</t>
  </si>
  <si>
    <t>72 5 50 14</t>
  </si>
  <si>
    <t>Health Prom/Educ. &amp; Com. Dev.- Chronic Disease Education, Awareness and Prevention- General</t>
  </si>
  <si>
    <t>72 5 50 35 10</t>
  </si>
  <si>
    <t>Health Prom/Educ. &amp; Com. Dev.- Chronic Disease Education, Awareness and Prevention- Diabetes</t>
  </si>
  <si>
    <t>72 5 50 35 20</t>
  </si>
  <si>
    <t>Health Prom/Educ.&amp; Com. Dev. - Chronic Disease Education, Awareness and Prevention – Cardiac Rehabilitation</t>
  </si>
  <si>
    <t>72 5 50 35 50</t>
  </si>
  <si>
    <t>Health Prom/Educ.&amp; Dev. – Diabetes Regional Coordination Centres</t>
  </si>
  <si>
    <t>72 5 50 40 10</t>
  </si>
  <si>
    <t>Health Prom/Educ.&amp; Com. Dev. – Heart and Stroke General</t>
  </si>
  <si>
    <t>72 5 50 42 10</t>
  </si>
  <si>
    <t>Health Prom/Educ.&amp; Com. Dev. – Stroke Strategy (Practice Guidelines)</t>
  </si>
  <si>
    <t>72 5 50 42 20</t>
  </si>
  <si>
    <t>Health Prom/Educ.&amp; Com. Dev. - Personal Health and Wellness – General</t>
  </si>
  <si>
    <t>72 5 50 45 05</t>
  </si>
  <si>
    <t>Health Prom/Educ.&amp; Com. Dev. - Personal Health and Wellness – Mental Wellness, Personal Health Practices and Coping Skills</t>
  </si>
  <si>
    <t>72 5 50 45 10</t>
  </si>
  <si>
    <t>Health Prom/Educ.&amp; Com. Dev. - Personal Health and Wellness – Oral Health</t>
  </si>
  <si>
    <t>72 5 50 45 20</t>
  </si>
  <si>
    <t>Health Prom/Educ.&amp; Com. Dev. - Personal Health and Wellness – Healthy Child</t>
  </si>
  <si>
    <t>72 5 50 45 30</t>
  </si>
  <si>
    <t>Health Prom/Educ.&amp; Com. Dev - Personal Health and Wellness – Youth Development</t>
  </si>
  <si>
    <t>72 5 50 45 40</t>
  </si>
  <si>
    <t>Health Prom/Educ.&amp; Com. Dev. - Family Clinics</t>
  </si>
  <si>
    <t>72 5 50 50</t>
  </si>
  <si>
    <t>Health Promotion/Education - Oncology General</t>
  </si>
  <si>
    <t>72 5 50 66 10</t>
  </si>
  <si>
    <t>Health Promotion/Education - Oncology Practice Guidelines</t>
  </si>
  <si>
    <t>72 5 50 66 20</t>
  </si>
  <si>
    <t>Health Promotion/Education - Mental Health &amp; Additictions (CCAC Sector Only)</t>
  </si>
  <si>
    <t>72 5 50 75 10</t>
  </si>
  <si>
    <t>Health Prom. /Education MH - Awareness</t>
  </si>
  <si>
    <t>72 5 50 76 10</t>
  </si>
  <si>
    <t>Health Promo. /Education MH - Women</t>
  </si>
  <si>
    <t>72 5 50 76 30</t>
  </si>
  <si>
    <t>Health Promo. /Education MH - Community Development</t>
  </si>
  <si>
    <t>72 5 50 76 40</t>
  </si>
  <si>
    <t>Health Prom./Educ. Addictions - Drug Awareness</t>
  </si>
  <si>
    <t>72 5 50 78 10</t>
  </si>
  <si>
    <t>Health Prom./Educ Addictions - Problem Gambling Awareness</t>
  </si>
  <si>
    <t>72 5 50 78 20</t>
  </si>
  <si>
    <t>Health Prom./Educ. Addictions - Community Development-Substance Abuse</t>
  </si>
  <si>
    <t>72 5 50 78 40</t>
  </si>
  <si>
    <t>Health Prom. /Educ - Palliative Care Interdisciplinary</t>
  </si>
  <si>
    <t>72 5 50 94 10</t>
  </si>
  <si>
    <t>Health Prom. /Educ - Palliative Care Physician</t>
  </si>
  <si>
    <t>72 5 50 94 90</t>
  </si>
  <si>
    <t>Health Prom. /Educ - Palliative Care Pain and Symptom Management</t>
  </si>
  <si>
    <t>72 5 50 94 91</t>
  </si>
  <si>
    <t>Health Prom/Educ &amp; Dev - General Geriatric</t>
  </si>
  <si>
    <t>72 5 50 96 10</t>
  </si>
  <si>
    <t>Health Prom/Educ &amp; Dev - Psycho-Geriatric</t>
  </si>
  <si>
    <t>72 5 50 96 76</t>
  </si>
  <si>
    <t>Consumer Survivor Initiatives - Peer/Self Help</t>
  </si>
  <si>
    <t>72 5 51 76 11</t>
  </si>
  <si>
    <t>Consumer Survivor Initiatives - Alternative Businesses</t>
  </si>
  <si>
    <t>72 5 51 76 12</t>
  </si>
  <si>
    <t>Consumer Survivor Initiatives - Family Initiatives</t>
  </si>
  <si>
    <t>72 5 51 76 20</t>
  </si>
  <si>
    <t>Comm. Disease Prev. and Control – General</t>
  </si>
  <si>
    <t>72 5 54</t>
  </si>
  <si>
    <t>Promotion and Prevention</t>
  </si>
  <si>
    <t>72 5 58</t>
  </si>
  <si>
    <t>COM Environmental Health</t>
  </si>
  <si>
    <t>72 5 60</t>
  </si>
  <si>
    <t>COM Licensing</t>
  </si>
  <si>
    <t>72 5 65</t>
  </si>
  <si>
    <t>Information and Referral Service - General</t>
  </si>
  <si>
    <t>72 5 70 10</t>
  </si>
  <si>
    <t>Information and Referral Service - Provincial Mental Health</t>
  </si>
  <si>
    <t>72 5 70 76</t>
  </si>
  <si>
    <t>Information and Referral Service - Provincial - Substance Abuse</t>
  </si>
  <si>
    <t>72 5 70 78 11</t>
  </si>
  <si>
    <t>Information and Referral Service - Provincial - Problem Gambling</t>
  </si>
  <si>
    <t>72 5 70 78 12</t>
  </si>
  <si>
    <t>Provincial &amp; Regional Health System Development</t>
  </si>
  <si>
    <t>72 5 75</t>
  </si>
  <si>
    <t>CSS IH - Service Arrangement/Coordination</t>
  </si>
  <si>
    <t>72 5 82 05</t>
  </si>
  <si>
    <t>CSS IH - Case Management</t>
  </si>
  <si>
    <t>72 5 82 09</t>
  </si>
  <si>
    <t>CSS IH - Meals Delivery</t>
  </si>
  <si>
    <t>72 5 82 10</t>
  </si>
  <si>
    <t>CSS IH - Social and Congregate Dining</t>
  </si>
  <si>
    <t>72 5 82 12</t>
  </si>
  <si>
    <t>CSS IH - Transportation - Client</t>
  </si>
  <si>
    <t>72 5 82 14</t>
  </si>
  <si>
    <t>CSS IH - Crisis Intervention and Support</t>
  </si>
  <si>
    <t>72 5 82 15</t>
  </si>
  <si>
    <t>CSS IH - Day Services</t>
  </si>
  <si>
    <t>72 5 82 20</t>
  </si>
  <si>
    <t>CSS IH - Homemaking</t>
  </si>
  <si>
    <t>72 5 82 31</t>
  </si>
  <si>
    <t>CSS IH - Home Maintenance</t>
  </si>
  <si>
    <t>72 5 82 32</t>
  </si>
  <si>
    <t>CSS IH - Personal Support/Independence Training</t>
  </si>
  <si>
    <t>72 5 82 33</t>
  </si>
  <si>
    <t>CSS IH - Respite</t>
  </si>
  <si>
    <t>72 5 82 34</t>
  </si>
  <si>
    <t>CSS IH - Comb. PS/HM/Respite Services</t>
  </si>
  <si>
    <t>72 5 82 35</t>
  </si>
  <si>
    <t>CSS IH - Overnight Stay Care</t>
  </si>
  <si>
    <t>72 5 82 40</t>
  </si>
  <si>
    <t>CSS IH - Assisted Living Services</t>
  </si>
  <si>
    <t>72 5 82 45</t>
  </si>
  <si>
    <t>CSS IH - Caregiver Support</t>
  </si>
  <si>
    <t>72 5 82 50</t>
  </si>
  <si>
    <t>CSS IH - Emergency Response Support Services</t>
  </si>
  <si>
    <t>72 5 82 55</t>
  </si>
  <si>
    <t>CSS IH - Visiting - Social and Safety</t>
  </si>
  <si>
    <t>72 5 82 60</t>
  </si>
  <si>
    <t>CSS IH - Visiting - Hospice Services</t>
  </si>
  <si>
    <t>72 5 82 65</t>
  </si>
  <si>
    <t>CSS IH - Foot Care Services</t>
  </si>
  <si>
    <t>72 5 82 70</t>
  </si>
  <si>
    <t>CSS IH - Vision Rehabilitation Services</t>
  </si>
  <si>
    <t>72 5 82 75</t>
  </si>
  <si>
    <t>CSS IH - Deaf, Deafened and Hard of Hearing Care Services</t>
  </si>
  <si>
    <t>72 5 82 77</t>
  </si>
  <si>
    <t>CSS ABI - Day Services</t>
  </si>
  <si>
    <t>72 5 83 20</t>
  </si>
  <si>
    <t>CSS ABI - Vocational Training and Education Services</t>
  </si>
  <si>
    <t>72 5 83 30</t>
  </si>
  <si>
    <t>CSS ABI - Personal Support/Independence Training</t>
  </si>
  <si>
    <t>72 5 83 33</t>
  </si>
  <si>
    <t>CSS ABI - Assisted Living Services</t>
  </si>
  <si>
    <t>72 5 83 45</t>
  </si>
  <si>
    <t>CSS Com Sup Init - Support Service Training</t>
  </si>
  <si>
    <t>72 5 84 10</t>
  </si>
  <si>
    <t>CSS Com Sup Init - Self Managed Attendant Services</t>
  </si>
  <si>
    <t>72 5 84 20</t>
  </si>
  <si>
    <t>CSS Com Sup Init - Personal Support Worker Training</t>
  </si>
  <si>
    <t>72 5 84 30</t>
  </si>
  <si>
    <t>CHC Client Support Services</t>
  </si>
  <si>
    <t>72 5 85</t>
  </si>
  <si>
    <t>CHC Research - Community Health and Social Services 7*7 50</t>
  </si>
  <si>
    <t>72 7 50</t>
  </si>
  <si>
    <t>Education-In Service</t>
  </si>
  <si>
    <t>72 8 40</t>
  </si>
  <si>
    <t>COM Health Prom/Educ.&amp; Com. Dev. - COM Chronic Disease Education, Awareness and Prevention – Asthma/COPD</t>
  </si>
  <si>
    <t>73 5 50 35 30</t>
  </si>
  <si>
    <t>Health Prom/Educ. &amp; Com. Dev.- Chronic Disease Education, Awareness and Prevention- Hepetitis C / HIV/AIDS</t>
  </si>
  <si>
    <t>73 5 50 35 40</t>
  </si>
  <si>
    <t>Undistributed Accounting Centres</t>
  </si>
  <si>
    <t>82 9</t>
  </si>
  <si>
    <t>NSM</t>
  </si>
  <si>
    <t>101255</t>
  </si>
  <si>
    <t>103005</t>
  </si>
  <si>
    <t>72561</t>
  </si>
  <si>
    <t>81277</t>
  </si>
  <si>
    <t>Alzheimer Society Of Muskoka</t>
  </si>
  <si>
    <t>Alzheimer Society of Simcoe County</t>
  </si>
  <si>
    <t>Barrie Area Native Advisory Circle</t>
  </si>
  <si>
    <t>Barrie Community Health Centre</t>
  </si>
  <si>
    <t>ALZ-M</t>
  </si>
  <si>
    <t>ALZ-SC</t>
  </si>
  <si>
    <t>BANAC</t>
  </si>
  <si>
    <t>BCHC</t>
  </si>
  <si>
    <t>21532</t>
  </si>
  <si>
    <t>72572</t>
  </si>
  <si>
    <t>52873</t>
  </si>
  <si>
    <t>54948</t>
  </si>
  <si>
    <t>74119</t>
  </si>
  <si>
    <t>7756</t>
  </si>
  <si>
    <t>332670</t>
  </si>
  <si>
    <t>58524</t>
  </si>
  <si>
    <t>81225</t>
  </si>
  <si>
    <t>Beausoleil First Nation</t>
  </si>
  <si>
    <t>Brain Injury Services of Simcoe County Inc.</t>
  </si>
  <si>
    <t>Breaking Down Barriers - An Independent Living Centre Inc.</t>
  </si>
  <si>
    <t>Canadian Mental Health Association, Muskoka-Parry Sound Branch</t>
  </si>
  <si>
    <t>Canadian Mental Health Association, Simcoe County Branch</t>
  </si>
  <si>
    <t>Canadian Red Cross Society</t>
  </si>
  <si>
    <t>Centre de santé communautaire CHIGAMIK Community Health Centre Inc.</t>
  </si>
  <si>
    <t>Chippewas of Rama First Nation</t>
  </si>
  <si>
    <t>Collingwood General and Marine Hospital</t>
  </si>
  <si>
    <t>BFN</t>
  </si>
  <si>
    <t>BISS</t>
  </si>
  <si>
    <t>BDB</t>
  </si>
  <si>
    <t>CMHA-MPS</t>
  </si>
  <si>
    <t>CMHA-SC</t>
  </si>
  <si>
    <t>CRC</t>
  </si>
  <si>
    <t>Chigamik</t>
  </si>
  <si>
    <t xml:space="preserve">Chippewas   </t>
  </si>
  <si>
    <t>CGMH</t>
  </si>
  <si>
    <t>260722</t>
  </si>
  <si>
    <t>55836</t>
  </si>
  <si>
    <t>Deaf Access Simcoe-Muskoka Inc.</t>
  </si>
  <si>
    <t>Enaahtig Healing Lodge and Learning Centre</t>
  </si>
  <si>
    <t>Deaf_Access</t>
  </si>
  <si>
    <t>Enaahtig</t>
  </si>
  <si>
    <t>72632</t>
  </si>
  <si>
    <t>102711</t>
  </si>
  <si>
    <t>100655</t>
  </si>
  <si>
    <t>Gravenhurst Senior Citizens Club Inc.</t>
  </si>
  <si>
    <t xml:space="preserve">Grove Park Home for Senior Citizens </t>
  </si>
  <si>
    <t>Helping Hands, Orillia</t>
  </si>
  <si>
    <t>Gravenhurst_SRS</t>
  </si>
  <si>
    <t>Grove_Park</t>
  </si>
  <si>
    <t>HHands</t>
  </si>
  <si>
    <t>100676</t>
  </si>
  <si>
    <t>100677</t>
  </si>
  <si>
    <t>124371</t>
  </si>
  <si>
    <t>Hospice Georgian Triangle</t>
  </si>
  <si>
    <t>Hospice Huronia</t>
  </si>
  <si>
    <t>Hospice Simcoe</t>
  </si>
  <si>
    <t>Hospice_GT</t>
  </si>
  <si>
    <t>Hospice_Huronia</t>
  </si>
  <si>
    <t>Hospice_Simcoe</t>
  </si>
  <si>
    <t>100689</t>
  </si>
  <si>
    <t>52907</t>
  </si>
  <si>
    <t>43558</t>
  </si>
  <si>
    <t>100696</t>
  </si>
  <si>
    <t>Huntsville Meals On Wheels Inc.</t>
  </si>
  <si>
    <t>Huronia Transition Homes</t>
  </si>
  <si>
    <t>Independent Living Services Simcoe County</t>
  </si>
  <si>
    <t>IOOF Senior Citizen Homes Inc.</t>
  </si>
  <si>
    <t>Huntsville_MO</t>
  </si>
  <si>
    <t>HTH</t>
  </si>
  <si>
    <t>ILSSC</t>
  </si>
  <si>
    <t>IOOF</t>
  </si>
  <si>
    <t>48849</t>
  </si>
  <si>
    <t>13671</t>
  </si>
  <si>
    <t>LOFT Community Services</t>
  </si>
  <si>
    <t>March of Dimes Canada</t>
  </si>
  <si>
    <t>LOFT</t>
  </si>
  <si>
    <t>MODC</t>
  </si>
  <si>
    <t>21946</t>
  </si>
  <si>
    <t>Moose Deer Point First Nation</t>
  </si>
  <si>
    <t>MDPFN</t>
  </si>
  <si>
    <t>100441</t>
  </si>
  <si>
    <t>524594</t>
  </si>
  <si>
    <t>Muskoka Seniors Home Assistance</t>
  </si>
  <si>
    <t>North Simcoe Muskoka Hospice Palliative Care Network</t>
  </si>
  <si>
    <t>Muskoka_SRS</t>
  </si>
  <si>
    <t>NSMHPCN</t>
  </si>
  <si>
    <t>7585</t>
  </si>
  <si>
    <t>Orillia Soldiers' Memorial Hospital</t>
  </si>
  <si>
    <t>OSMH</t>
  </si>
  <si>
    <t>7751</t>
  </si>
  <si>
    <t>Royal Victoria Regional Health Centre</t>
  </si>
  <si>
    <t>RVH</t>
  </si>
  <si>
    <t>99973</t>
  </si>
  <si>
    <t>103257</t>
  </si>
  <si>
    <t>332667</t>
  </si>
  <si>
    <t>Seven South Street Treatment Centre</t>
  </si>
  <si>
    <t xml:space="preserve">Simcoe Peer Support for Mental Health &amp; Addictions </t>
  </si>
  <si>
    <t>South Georgian Bay Community Health Centre</t>
  </si>
  <si>
    <t>Seven_South_Street</t>
  </si>
  <si>
    <t>SPSMHA</t>
  </si>
  <si>
    <t>SGBCHC</t>
  </si>
  <si>
    <t>252</t>
  </si>
  <si>
    <t>The Corporation of the County of Simcoe</t>
  </si>
  <si>
    <t>County_of_Simcoe</t>
  </si>
  <si>
    <t>407496</t>
  </si>
  <si>
    <t>639376</t>
  </si>
  <si>
    <t>26244</t>
  </si>
  <si>
    <t>370600</t>
  </si>
  <si>
    <t>99473</t>
  </si>
  <si>
    <t>Victorian Order of Nurses for Canada-Ontario Branch, Simcoe County</t>
  </si>
  <si>
    <t>Vision Loss Rehabilitation Canada</t>
  </si>
  <si>
    <t>Wahta Mohawks</t>
  </si>
  <si>
    <t>Waypoint Centre for Mental Health Care</t>
  </si>
  <si>
    <t>Wendat Community Programs</t>
  </si>
  <si>
    <t>VON</t>
  </si>
  <si>
    <t>VLRC</t>
  </si>
  <si>
    <t>Wahta_Mohawks</t>
  </si>
  <si>
    <t>WP</t>
  </si>
  <si>
    <t>WENDAT</t>
  </si>
  <si>
    <t>CENT</t>
  </si>
  <si>
    <t>4094</t>
  </si>
  <si>
    <t>324</t>
  </si>
  <si>
    <t>573</t>
  </si>
  <si>
    <t>4098</t>
  </si>
  <si>
    <t>4007</t>
  </si>
  <si>
    <t>448123</t>
  </si>
  <si>
    <t>101342</t>
  </si>
  <si>
    <t>103799</t>
  </si>
  <si>
    <t>104229</t>
  </si>
  <si>
    <t>103745</t>
  </si>
  <si>
    <t>ACCESS INDEPENDENT LIVING SERVICES</t>
  </si>
  <si>
    <t>ACROSS BOUNDARIES</t>
  </si>
  <si>
    <t>ADDICTION SERVICES OF YORK REGION</t>
  </si>
  <si>
    <t>ALZHEIMER SOCIETY OF YORK REGION</t>
  </si>
  <si>
    <t>APHASIA INSTITUTE</t>
  </si>
  <si>
    <t>BERNARD BETEL CENTRE FOR CREATIVE LIVING</t>
  </si>
  <si>
    <t>ACCESS</t>
  </si>
  <si>
    <t>ACROSS</t>
  </si>
  <si>
    <t>ASYR</t>
  </si>
  <si>
    <t>AS York</t>
  </si>
  <si>
    <t>APHASIA</t>
  </si>
  <si>
    <t>Bernard</t>
  </si>
  <si>
    <t>4422</t>
  </si>
  <si>
    <t>8011</t>
  </si>
  <si>
    <t>354996</t>
  </si>
  <si>
    <t>81201</t>
  </si>
  <si>
    <t>BETTER LIVING HEALTH AND COMMUNITY SERVICES</t>
  </si>
  <si>
    <t>BLACK CREEK COMMUNITY HEALTH</t>
  </si>
  <si>
    <t>BLHCS</t>
  </si>
  <si>
    <t>BCCHC</t>
  </si>
  <si>
    <t>4414</t>
  </si>
  <si>
    <t>352</t>
  </si>
  <si>
    <t>361</t>
  </si>
  <si>
    <t>1366</t>
  </si>
  <si>
    <t>103875</t>
  </si>
  <si>
    <t>103221</t>
  </si>
  <si>
    <t>100987</t>
  </si>
  <si>
    <t>CANADIAN HEARING SERVICES SERVICES CANADIENS DE L'OUIE</t>
  </si>
  <si>
    <t>CANADIAN MENTAL HEALTH ASSOC (CMHA) YORK REGION</t>
  </si>
  <si>
    <t>CANADIAN MENTAL HEALTH ASSOCIATION TORONTO BRANCH</t>
  </si>
  <si>
    <t>CAREFIRST SENIORS AND COMMUNITY SERVICES ASSOCIATION</t>
  </si>
  <si>
    <t>CHSS</t>
  </si>
  <si>
    <t>CMHA YR</t>
  </si>
  <si>
    <t>CMHA Toronto</t>
  </si>
  <si>
    <t>Carefirst</t>
  </si>
  <si>
    <t>574</t>
  </si>
  <si>
    <t>308</t>
  </si>
  <si>
    <t>4270</t>
  </si>
  <si>
    <t>102934</t>
  </si>
  <si>
    <t>53275</t>
  </si>
  <si>
    <t>40905</t>
  </si>
  <si>
    <t>CARITAS SCHOOL OF LIFE</t>
  </si>
  <si>
    <t>CEDAR CENTRE</t>
  </si>
  <si>
    <t>CEREBRAL PALSY PARENT COUNCIL OF TORONTO</t>
  </si>
  <si>
    <t>CARITAS</t>
  </si>
  <si>
    <t>CEDAR</t>
  </si>
  <si>
    <t>CPPC</t>
  </si>
  <si>
    <t>4415</t>
  </si>
  <si>
    <t>4420</t>
  </si>
  <si>
    <t>4272</t>
  </si>
  <si>
    <t>4115</t>
  </si>
  <si>
    <t>4016</t>
  </si>
  <si>
    <t>460</t>
  </si>
  <si>
    <t>21840</t>
  </si>
  <si>
    <t>102982</t>
  </si>
  <si>
    <t>3310</t>
  </si>
  <si>
    <t>42650</t>
  </si>
  <si>
    <t>102976</t>
  </si>
  <si>
    <t>103845</t>
  </si>
  <si>
    <t>CHIPPEWAS OF GEORGINA ISLAND</t>
  </si>
  <si>
    <t>CIRCLE OF HOME CARE SERVICES (TORONTO)</t>
  </si>
  <si>
    <t>CITY OF TORONTO</t>
  </si>
  <si>
    <t>COMMUNITY HEAD INJURY RESOURCE SERVICES OF TORONTO</t>
  </si>
  <si>
    <t>COMMUNITY HOME ASSISTANCE TO SENIORS</t>
  </si>
  <si>
    <t>COTA HEALTH</t>
  </si>
  <si>
    <t>Chippewas GI</t>
  </si>
  <si>
    <t>CHCS</t>
  </si>
  <si>
    <t>CoTor</t>
  </si>
  <si>
    <t>CHIRS</t>
  </si>
  <si>
    <t>CHATS</t>
  </si>
  <si>
    <t>COTA</t>
  </si>
  <si>
    <t>4123</t>
  </si>
  <si>
    <t>102908</t>
  </si>
  <si>
    <t>ETOBICOKE SERVICES FOR SENIORS</t>
  </si>
  <si>
    <t>Etobioke Sen</t>
  </si>
  <si>
    <t>4298</t>
  </si>
  <si>
    <t>941</t>
  </si>
  <si>
    <t>409</t>
  </si>
  <si>
    <t>100647</t>
  </si>
  <si>
    <t>2707</t>
  </si>
  <si>
    <t>52909</t>
  </si>
  <si>
    <t>HAZEL BURNS HOSPICE</t>
  </si>
  <si>
    <t>HUMBER RIVER HOSPITAL</t>
  </si>
  <si>
    <t>JANE/FINCH COMMUNITY &amp; FAMILY CENTRE</t>
  </si>
  <si>
    <t>Hazel B Hospice</t>
  </si>
  <si>
    <t>HRH</t>
  </si>
  <si>
    <t>JFCFC</t>
  </si>
  <si>
    <t>254</t>
  </si>
  <si>
    <t>103530</t>
  </si>
  <si>
    <t>KRASMAN CENTRE (THE LANCE KRASMAN MEMORIAL CENTRE FOR COMMUNITY MENTAL HEALTH)</t>
  </si>
  <si>
    <t>Krasman</t>
  </si>
  <si>
    <t>4070</t>
  </si>
  <si>
    <t>701</t>
  </si>
  <si>
    <t>104267</t>
  </si>
  <si>
    <t>7618</t>
  </si>
  <si>
    <t>LOFT COMMUNITY SERVICES</t>
  </si>
  <si>
    <t>LUMACARE SERVICES</t>
  </si>
  <si>
    <t>MACKENZIE HEALTH</t>
  </si>
  <si>
    <t>LUMACARE</t>
  </si>
  <si>
    <t>MACKENZIE</t>
  </si>
  <si>
    <t>4173</t>
  </si>
  <si>
    <t>MARCH OF DIMES CANADA</t>
  </si>
  <si>
    <t>MOD</t>
  </si>
  <si>
    <t>905</t>
  </si>
  <si>
    <t>81132</t>
  </si>
  <si>
    <t>Oak Valley Health</t>
  </si>
  <si>
    <t>MSH</t>
  </si>
  <si>
    <t>4193</t>
  </si>
  <si>
    <t>42959</t>
  </si>
  <si>
    <t>NEW UNIONVILLE HOME SOCIETY</t>
  </si>
  <si>
    <t>NUH</t>
  </si>
  <si>
    <t>632</t>
  </si>
  <si>
    <t>4421</t>
  </si>
  <si>
    <t>4339</t>
  </si>
  <si>
    <t>4155</t>
  </si>
  <si>
    <t>9458</t>
  </si>
  <si>
    <t>52843</t>
  </si>
  <si>
    <t>40723</t>
  </si>
  <si>
    <t>104142</t>
  </si>
  <si>
    <t>NORTH YORK GENERAL HOSPITAL</t>
  </si>
  <si>
    <t>NORTH YORK SENIORS CENTRE</t>
  </si>
  <si>
    <t>NORTH YORKERS FOR DISABLED PERSONS INC</t>
  </si>
  <si>
    <t>PACE INDEPENDENT LIVING</t>
  </si>
  <si>
    <t>NYGH</t>
  </si>
  <si>
    <t>NY Seniors</t>
  </si>
  <si>
    <t>NY Disabled</t>
  </si>
  <si>
    <t>PACE</t>
  </si>
  <si>
    <t>2056</t>
  </si>
  <si>
    <t>2014</t>
  </si>
  <si>
    <t>102355</t>
  </si>
  <si>
    <t>305</t>
  </si>
  <si>
    <t>REENA</t>
  </si>
  <si>
    <t>REGIONAL MUNICIPALITY OF YORK</t>
  </si>
  <si>
    <t>RMoY</t>
  </si>
  <si>
    <t>736</t>
  </si>
  <si>
    <t>35667</t>
  </si>
  <si>
    <t>SOUTHLAKE REGIONAL HEALTH CENTRE</t>
  </si>
  <si>
    <t>SRH</t>
  </si>
  <si>
    <t>4356</t>
  </si>
  <si>
    <t>596</t>
  </si>
  <si>
    <t>457</t>
  </si>
  <si>
    <t>103339</t>
  </si>
  <si>
    <t>81107</t>
  </si>
  <si>
    <t>102961</t>
  </si>
  <si>
    <t>ST DEMETRIUS SUPPORTIVE CARE SERVICES</t>
  </si>
  <si>
    <t>STEVENSON MEMORIAL HOSPITAL</t>
  </si>
  <si>
    <t>TORONTO NORTH SUPPORT SERVICES</t>
  </si>
  <si>
    <t>SDSCS</t>
  </si>
  <si>
    <t>SMH</t>
  </si>
  <si>
    <t>TNS</t>
  </si>
  <si>
    <t>8033</t>
  </si>
  <si>
    <t>337971</t>
  </si>
  <si>
    <t>VAUGHAN COMMUNITY HEALTH CENTRE CORPORATION</t>
  </si>
  <si>
    <t>VCHCC</t>
  </si>
  <si>
    <t>6000</t>
  </si>
  <si>
    <t>103792</t>
  </si>
  <si>
    <t>VILLA COLOMBO HOMES FOR THE AGED</t>
  </si>
  <si>
    <t xml:space="preserve">Villa Colombo </t>
  </si>
  <si>
    <t>584</t>
  </si>
  <si>
    <t>102307</t>
  </si>
  <si>
    <t>VITANOVA FOUNDATION</t>
  </si>
  <si>
    <t>VITANOVA</t>
  </si>
  <si>
    <t>4643</t>
  </si>
  <si>
    <t>103639</t>
  </si>
  <si>
    <t>YEE HONG CENTRE FOR GERIATRIC CARE</t>
  </si>
  <si>
    <t>YH-Markham</t>
  </si>
  <si>
    <t>CW</t>
  </si>
  <si>
    <t>379</t>
  </si>
  <si>
    <t>4563</t>
  </si>
  <si>
    <t>4247</t>
  </si>
  <si>
    <t>99445</t>
  </si>
  <si>
    <t>101251</t>
  </si>
  <si>
    <t>103740</t>
  </si>
  <si>
    <t>YOR-SUP-NET SUPPORT SERVICE NETWORK</t>
  </si>
  <si>
    <t>ALZHEIMER SOCIETY OF DUFFERIN COUNTY</t>
  </si>
  <si>
    <t>ALZHEIMER SOCIETY PEEL</t>
  </si>
  <si>
    <t>YSSN</t>
  </si>
  <si>
    <t xml:space="preserve">AS Dufferin </t>
  </si>
  <si>
    <t>AS Peel</t>
  </si>
  <si>
    <t>4300</t>
  </si>
  <si>
    <t>4263</t>
  </si>
  <si>
    <t>100674</t>
  </si>
  <si>
    <t>104243</t>
  </si>
  <si>
    <t>BETHELL HOSPICE</t>
  </si>
  <si>
    <t>BRAMPTON MEALS ON WHEELS</t>
  </si>
  <si>
    <t>BETHELL</t>
  </si>
  <si>
    <t>BRAMPTON MOW</t>
  </si>
  <si>
    <t>4266</t>
  </si>
  <si>
    <t>4267</t>
  </si>
  <si>
    <t>434</t>
  </si>
  <si>
    <t>4109</t>
  </si>
  <si>
    <t>72897</t>
  </si>
  <si>
    <t>101111</t>
  </si>
  <si>
    <t>103032</t>
  </si>
  <si>
    <t>100960</t>
  </si>
  <si>
    <t>CALEDON COMMUNITY SERVICES</t>
  </si>
  <si>
    <t>CALEDON MEALS ON WHEELS</t>
  </si>
  <si>
    <t>CANADIAN MENTAL HEALTH ASSOCIATION - PEEL BRANCH</t>
  </si>
  <si>
    <t>CANES COMMUNITY CARE</t>
  </si>
  <si>
    <t>CCS</t>
  </si>
  <si>
    <t>CALEDON MOW</t>
  </si>
  <si>
    <t>CMHA PEEL</t>
  </si>
  <si>
    <t>CANES CW</t>
  </si>
  <si>
    <t>4435</t>
  </si>
  <si>
    <t>23</t>
  </si>
  <si>
    <t>COUNTY OF DUFFERIN</t>
  </si>
  <si>
    <t>DUFFERIN CSS</t>
  </si>
  <si>
    <t>285</t>
  </si>
  <si>
    <t>370</t>
  </si>
  <si>
    <t>512</t>
  </si>
  <si>
    <t>43588</t>
  </si>
  <si>
    <t>104227</t>
  </si>
  <si>
    <t>63320</t>
  </si>
  <si>
    <t>FAMILY TRANSITION PLACE</t>
  </si>
  <si>
    <t>FRIENDS &amp; ADVOCATES-PEEL</t>
  </si>
  <si>
    <t>GOVERNING COUNCIL OF THE SALVATION ARMY IN CANADA</t>
  </si>
  <si>
    <t>FTP</t>
  </si>
  <si>
    <t>FAP</t>
  </si>
  <si>
    <t>HOPE ACRES</t>
  </si>
  <si>
    <t>4299</t>
  </si>
  <si>
    <t>4025</t>
  </si>
  <si>
    <t>43344</t>
  </si>
  <si>
    <t>100675</t>
  </si>
  <si>
    <t>HOLLAND CHRISTIAN HOMES INC</t>
  </si>
  <si>
    <t>HOSPICE DUFFERIN</t>
  </si>
  <si>
    <t>HCH</t>
  </si>
  <si>
    <t>4433</t>
  </si>
  <si>
    <t>53211</t>
  </si>
  <si>
    <t>INDUS COMMUNITY SERVICES</t>
  </si>
  <si>
    <t>INDUS-CW</t>
  </si>
  <si>
    <t>4432</t>
  </si>
  <si>
    <t>645195</t>
  </si>
  <si>
    <t>PEEL CHESHIRE HOME (BRAMPTON) INC</t>
  </si>
  <si>
    <t>PCHB</t>
  </si>
  <si>
    <t>4073</t>
  </si>
  <si>
    <t>2029</t>
  </si>
  <si>
    <t>4437</t>
  </si>
  <si>
    <t>8024</t>
  </si>
  <si>
    <t>4350</t>
  </si>
  <si>
    <t>4379</t>
  </si>
  <si>
    <t>2051</t>
  </si>
  <si>
    <t>103643</t>
  </si>
  <si>
    <t>391747</t>
  </si>
  <si>
    <t>3319</t>
  </si>
  <si>
    <t>81075</t>
  </si>
  <si>
    <t>99867</t>
  </si>
  <si>
    <t>103438</t>
  </si>
  <si>
    <t>598163</t>
  </si>
  <si>
    <t>PEEL SENIOR LINK</t>
  </si>
  <si>
    <t>PUNJABI COMMUNITY HEALTH SERVICES</t>
  </si>
  <si>
    <t>REGIONAL MUNICIPALITY OF PEEL</t>
  </si>
  <si>
    <t>REXDALE COMMUNITY HEALTH CENTRE</t>
  </si>
  <si>
    <t>RICHVIEW COMMUNITY CARE SERVICES CORPORATION</t>
  </si>
  <si>
    <t>ROOTS COMMUNITY SERVICES INC</t>
  </si>
  <si>
    <t>SERVICES AND HOUSING IN THE PROVINCE</t>
  </si>
  <si>
    <t>PSL-CW</t>
  </si>
  <si>
    <t>PCHS</t>
  </si>
  <si>
    <t>RMoP</t>
  </si>
  <si>
    <t>REXDALE</t>
  </si>
  <si>
    <t>RICHVIEW</t>
  </si>
  <si>
    <t>ROOTS</t>
  </si>
  <si>
    <t>SHIP</t>
  </si>
  <si>
    <t>8017</t>
  </si>
  <si>
    <t>356087</t>
  </si>
  <si>
    <t>WELLFORT COMMUNITY HEALTH SERVICES</t>
  </si>
  <si>
    <t>WELLFORT</t>
  </si>
  <si>
    <t>951</t>
  </si>
  <si>
    <t>7587</t>
  </si>
  <si>
    <t>WILLIAM OSLER HEALTH SYSTEM</t>
  </si>
  <si>
    <t>WOHS</t>
  </si>
  <si>
    <t>MH</t>
  </si>
  <si>
    <t>4085</t>
  </si>
  <si>
    <t>299074</t>
  </si>
  <si>
    <t>ACCLAIM HEALTH AND COMMUNITY CARE SERVICES</t>
  </si>
  <si>
    <t>Acclaim</t>
  </si>
  <si>
    <t>4607</t>
  </si>
  <si>
    <t>382</t>
  </si>
  <si>
    <t>351258</t>
  </si>
  <si>
    <t>CANADIAN MENTAL HEALTH ASSOCIATION - HALTON BRANCH</t>
  </si>
  <si>
    <t>CMHA HALTON</t>
  </si>
  <si>
    <t>CANES MH</t>
  </si>
  <si>
    <t>4371</t>
  </si>
  <si>
    <t>4616</t>
  </si>
  <si>
    <t>269</t>
  </si>
  <si>
    <t>CITY OF MISSISSAUGA</t>
  </si>
  <si>
    <t>CoMiss</t>
  </si>
  <si>
    <t>4284</t>
  </si>
  <si>
    <t>54743</t>
  </si>
  <si>
    <t>DIXIE BLOOR NEIGHBOURHOOD DROP-IN CENTRE</t>
  </si>
  <si>
    <t>DBNDC</t>
  </si>
  <si>
    <t>4050</t>
  </si>
  <si>
    <t>102880</t>
  </si>
  <si>
    <t>DOROTHY LEY HOSPICE INC</t>
  </si>
  <si>
    <t>DOROTHY</t>
  </si>
  <si>
    <t>587</t>
  </si>
  <si>
    <t>950</t>
  </si>
  <si>
    <t>4030</t>
  </si>
  <si>
    <t>525</t>
  </si>
  <si>
    <t>4316</t>
  </si>
  <si>
    <t>4318</t>
  </si>
  <si>
    <t>103727</t>
  </si>
  <si>
    <t>995</t>
  </si>
  <si>
    <t>103730</t>
  </si>
  <si>
    <t>100668</t>
  </si>
  <si>
    <t>40581</t>
  </si>
  <si>
    <t>41517</t>
  </si>
  <si>
    <t>HALTON ALCOHOL DRUG &amp; GAMBLING ASSESSMENT PREVENTION TREATMENT - ADAPT</t>
  </si>
  <si>
    <t>Halton Healthcare Services Corp</t>
  </si>
  <si>
    <t>HEARTHOUSE HOSPICE INC</t>
  </si>
  <si>
    <t>HOPE PLACE CENTRES</t>
  </si>
  <si>
    <t>IVAN FRANKO HOMES</t>
  </si>
  <si>
    <t>JOYCE SCOTT NON-PROFIT HOMES INC</t>
  </si>
  <si>
    <t>ADAPT</t>
  </si>
  <si>
    <t>HHSC</t>
  </si>
  <si>
    <t>HEARTHOUSE</t>
  </si>
  <si>
    <t>HOPE PLACE</t>
  </si>
  <si>
    <t>IVAN FH</t>
  </si>
  <si>
    <t>JS NPH</t>
  </si>
  <si>
    <t>4320</t>
  </si>
  <si>
    <t>4169</t>
  </si>
  <si>
    <t>7735</t>
  </si>
  <si>
    <t>280458</t>
  </si>
  <si>
    <t>LAKESHORE AREA MULTI-SERVICES PROJECT INC (LAMP)</t>
  </si>
  <si>
    <t>LINKS2CARE</t>
  </si>
  <si>
    <t>LAMP</t>
  </si>
  <si>
    <t>L2C</t>
  </si>
  <si>
    <t>4328</t>
  </si>
  <si>
    <t>4434</t>
  </si>
  <si>
    <t>4162</t>
  </si>
  <si>
    <t>8069</t>
  </si>
  <si>
    <t>100410</t>
  </si>
  <si>
    <t>100413</t>
  </si>
  <si>
    <t>100290</t>
  </si>
  <si>
    <t>625765</t>
  </si>
  <si>
    <t>MICBA FORUM ITALIA COMMUNITY SERVICES</t>
  </si>
  <si>
    <t>MILTON MEALS ON WHEELS</t>
  </si>
  <si>
    <t>MIND FORWARD BRAIN INJURY SERVICES ONTARIO</t>
  </si>
  <si>
    <t>MISSISSAUGA INTEGRATED CARE CENTRE</t>
  </si>
  <si>
    <t>MICB</t>
  </si>
  <si>
    <t>MILTON MOW</t>
  </si>
  <si>
    <t>MINDFOWARD</t>
  </si>
  <si>
    <t>MICC</t>
  </si>
  <si>
    <t>4149</t>
  </si>
  <si>
    <t>4341</t>
  </si>
  <si>
    <t>552</t>
  </si>
  <si>
    <t>4346</t>
  </si>
  <si>
    <t>100384</t>
  </si>
  <si>
    <t>100387</t>
  </si>
  <si>
    <t>103565</t>
  </si>
  <si>
    <t>42263</t>
  </si>
  <si>
    <t>NUCLEUS INDEPENDENT LIVING</t>
  </si>
  <si>
    <t>OAKVILLE SENIOR CITIZENS RESIDENCE</t>
  </si>
  <si>
    <t>PEEL ADDICTION ASSESSMENT &amp; REFERRAL CENTRE (PAARC)</t>
  </si>
  <si>
    <t>PEEL CHESHIRE HOMES INC</t>
  </si>
  <si>
    <t>NUCLEUS</t>
  </si>
  <si>
    <t>OSCR</t>
  </si>
  <si>
    <t>PAARC</t>
  </si>
  <si>
    <t>PCH</t>
  </si>
  <si>
    <t>PSL</t>
  </si>
  <si>
    <t>474</t>
  </si>
  <si>
    <t>4178</t>
  </si>
  <si>
    <t>304</t>
  </si>
  <si>
    <t>100014</t>
  </si>
  <si>
    <t>REGIONAL MUNICIPALITY OF HALTON</t>
  </si>
  <si>
    <t>SENIORS LIFE ENHANCEMENT CENTRES</t>
  </si>
  <si>
    <t>RMoH</t>
  </si>
  <si>
    <t>SLEC</t>
  </si>
  <si>
    <t>426</t>
  </si>
  <si>
    <t>405</t>
  </si>
  <si>
    <t>408</t>
  </si>
  <si>
    <t>4046</t>
  </si>
  <si>
    <t>4440</t>
  </si>
  <si>
    <t>975</t>
  </si>
  <si>
    <t>99851</t>
  </si>
  <si>
    <t>43888</t>
  </si>
  <si>
    <t>104189</t>
  </si>
  <si>
    <t>101280</t>
  </si>
  <si>
    <t>318</t>
  </si>
  <si>
    <t>461996</t>
  </si>
  <si>
    <t>SUMMIT HOUSING &amp; OUTREACH PROGRAMS</t>
  </si>
  <si>
    <t>SUPPORT &amp; HOUSING - HALTON</t>
  </si>
  <si>
    <t>SUPPORTED TRAINING &amp; REHABILITATION IN DIVERSE ENVIRONMENTS (STRIDE)</t>
  </si>
  <si>
    <t>THE ARTHRITIS SOCIETY</t>
  </si>
  <si>
    <t>TOWN OF HALTON HILLS</t>
  </si>
  <si>
    <t>TRILLIUM HEALTH PARTNERS</t>
  </si>
  <si>
    <t>SUMMIT</t>
  </si>
  <si>
    <t>SUPPORT HOUSE</t>
  </si>
  <si>
    <t>STRIDE</t>
  </si>
  <si>
    <t>AS</t>
  </si>
  <si>
    <t>TOHH</t>
  </si>
  <si>
    <t>THP</t>
  </si>
  <si>
    <t>4633</t>
  </si>
  <si>
    <t>VICTORIAN ORDER OF NURSES FOR CANADA - ONTARIO BRANCH</t>
  </si>
  <si>
    <t>4849</t>
  </si>
  <si>
    <t>VISION LOSS REHABILITATION CANADA</t>
  </si>
  <si>
    <t>VLR</t>
  </si>
  <si>
    <t>Yee Hong Centre for Geriatric Care - Mississauga</t>
  </si>
  <si>
    <t>YH-Mississauga</t>
  </si>
  <si>
    <t>Facility</t>
  </si>
  <si>
    <t>Recipient</t>
  </si>
  <si>
    <t>HSP Name</t>
  </si>
  <si>
    <t>Acronym</t>
  </si>
  <si>
    <t>LHIN</t>
  </si>
  <si>
    <t>Legacy LHIN</t>
  </si>
  <si>
    <t>Proper</t>
  </si>
  <si>
    <t>Date Signed</t>
  </si>
  <si>
    <t>Full-time equivalents (FTE)</t>
  </si>
  <si>
    <t xml:space="preserve">Visits </t>
  </si>
  <si>
    <t xml:space="preserve">Not Uniquely Identified Service Recipient Interactions </t>
  </si>
  <si>
    <t xml:space="preserve">Hours of Care </t>
  </si>
  <si>
    <t xml:space="preserve">Inpatient/Resident Days </t>
  </si>
  <si>
    <t xml:space="preserve">Individuals Served by Functional Centre  </t>
  </si>
  <si>
    <t>Attendance Days</t>
  </si>
  <si>
    <t>Group Sessions</t>
  </si>
  <si>
    <t xml:space="preserve">Meal Delivered-Combined </t>
  </si>
  <si>
    <t xml:space="preserve">Group Participant Attendances </t>
  </si>
  <si>
    <t>Service Provider Interactions</t>
  </si>
  <si>
    <t>Service Provider Group Interactions</t>
  </si>
  <si>
    <t>Mental Health Sessions</t>
  </si>
  <si>
    <t>Rationale for the request</t>
  </si>
  <si>
    <t>Surplus Usage Request</t>
  </si>
  <si>
    <t>Amount to Recover</t>
  </si>
  <si>
    <t>Recovery Index</t>
  </si>
  <si>
    <t>Lookup ID</t>
  </si>
  <si>
    <r>
      <rPr>
        <b/>
        <sz val="11"/>
        <rFont val="Calibri"/>
        <family val="2"/>
        <scheme val="minor"/>
      </rPr>
      <t xml:space="preserve">Transfer Payment Business Entity (TPBE) </t>
    </r>
    <r>
      <rPr>
        <b/>
        <u/>
        <sz val="11"/>
        <color theme="10"/>
        <rFont val="Calibri"/>
        <family val="2"/>
        <scheme val="minor"/>
      </rPr>
      <t>[1]</t>
    </r>
  </si>
  <si>
    <t>LAB Pre/Post Analysis 72 4 10 21</t>
  </si>
  <si>
    <t>NV Non - Invasive Cardiology - Combined 72 4 30 20 99</t>
  </si>
  <si>
    <t>FTE</t>
  </si>
  <si>
    <t>NUISRI</t>
  </si>
  <si>
    <t>HoC</t>
  </si>
  <si>
    <t>Inpatient</t>
  </si>
  <si>
    <t>IS</t>
  </si>
  <si>
    <t>AD</t>
  </si>
  <si>
    <t>GS</t>
  </si>
  <si>
    <t>MD-C</t>
  </si>
  <si>
    <t>CPA</t>
  </si>
  <si>
    <t>SPI</t>
  </si>
  <si>
    <t>SPGI</t>
  </si>
  <si>
    <t>MHS</t>
  </si>
  <si>
    <t>Health Service Provider CEO or ED Approval Signature</t>
  </si>
  <si>
    <t>FC #</t>
  </si>
  <si>
    <t>Not Uniquely Identified Service Recipient Interactions</t>
  </si>
  <si>
    <t>Hours of Care</t>
  </si>
  <si>
    <t>Inpatient/Resident Days</t>
  </si>
  <si>
    <t>Individuals Served by Functional Centre</t>
  </si>
  <si>
    <t>Meal Delivered-Combined</t>
  </si>
  <si>
    <t>Total Cost for Functional Centre</t>
  </si>
  <si>
    <t>Group Participant Attendances</t>
  </si>
  <si>
    <t>Select Functional Centre</t>
  </si>
  <si>
    <t>Undistributed Accounting Centres 82 9</t>
  </si>
  <si>
    <t>Administration and Support Services 72 1</t>
  </si>
  <si>
    <t>COM Clinical Management 72 5 05</t>
  </si>
  <si>
    <t>COM Medical Resources 72 5 07</t>
  </si>
  <si>
    <t>MI Combined Functions 72 4 15 99</t>
  </si>
  <si>
    <t>CMH&amp;A Centralized/Coordinated Access  72 5 08</t>
  </si>
  <si>
    <t>Case Management (Home Care) 72 5 09 30</t>
  </si>
  <si>
    <t>Case Management/Supportive Counselling &amp; Services - Mental Health 72 5 09 76</t>
  </si>
  <si>
    <t>Case Management/Supportive Counselling &amp; Services - Addictions Supportive Housing 72 5 09 78 10</t>
  </si>
  <si>
    <t>Case Management Addictions - Substance Abuse 72 5 09 78 11</t>
  </si>
  <si>
    <t>Clinics/Programs - Primary Care Practice 72 5 10 05</t>
  </si>
  <si>
    <t>Clinics/Programs - Walk In Clinic 72 5 10 10</t>
  </si>
  <si>
    <t>Clinics/Programs - Nursing Clinic 72 5 10 15</t>
  </si>
  <si>
    <t>Clinics/Programs - General Clinic 72 5 10 20</t>
  </si>
  <si>
    <t>Clinics/Programs - Combined Clinic 72 5 10 30</t>
  </si>
  <si>
    <t>Clinics/Programs - Therapy Clinic - General 72 5 10 40 10</t>
  </si>
  <si>
    <t>Clinics/Programs - Therapy Clinic - Foot Care 72 5 10 40 20</t>
  </si>
  <si>
    <t>Clinics/Programs - Therapy Clinic - Naturopathy 72 5 10 40 30</t>
  </si>
  <si>
    <t>Clinics/Programs - Therapy Clinic - Pharmacy 72 5 10 40 40</t>
  </si>
  <si>
    <t>Clinics/Programs - Therapy Clinic - Nutrition 72 5 10 40 45</t>
  </si>
  <si>
    <t>Clinics/Programs - Therapy Clinic - Physiotherapy 72 5 10 40 50</t>
  </si>
  <si>
    <t>Clinics/Programs - Therapy Clinic - Occupational Therapy 72 5 10 40 55</t>
  </si>
  <si>
    <t>Clinics/Programs - Therapy Clinic - Counselling 72 5 10 40 60</t>
  </si>
  <si>
    <t>Clinics/Programs - Therapy Clinic - Speech and Language Pathology 72 5 10 40 62</t>
  </si>
  <si>
    <t>Clinics/Programs - Therapy Clinic - Massage Therapy 72 5 10 40 64</t>
  </si>
  <si>
    <t>Clinics/Programs – Oral Health Clinic 72 5 10 45</t>
  </si>
  <si>
    <t>Clinics/Programs - Chronic Disease - General Clinic 72 5 10 50 10</t>
  </si>
  <si>
    <t>Clinics/Programs - Chronic Disease - Diabetes Clinic 72 5 10 50 20</t>
  </si>
  <si>
    <t>Clinics/Programs - Chronic Disease - Asthma Clinic 72 5 10 50 30</t>
  </si>
  <si>
    <t>Clinics/Programs - Chronic Disease - Hepatitis C and/or HIV/AIDS Clinic 72 5 10 50 40</t>
  </si>
  <si>
    <t>Clinics/Programs - Chronic Disease – Cardiac Rehabilitation Clinic 72 5 10 50 50</t>
  </si>
  <si>
    <t>Clinics/Programs – CHC Other Clinic 72 5 10 55</t>
  </si>
  <si>
    <t>Clinics/Programs - Oncology - Treatment Outreach Clinic 72 5 10 66 10</t>
  </si>
  <si>
    <t>Clinics/Programs - Oncology - Preventative Clinics 72 5 10 66 20</t>
  </si>
  <si>
    <t>Clinics Programs - MH Counseling and Treatment 72 5 10 76 12</t>
  </si>
  <si>
    <t>MH Assertive Community Treatment Teams 72 5 10 76 20</t>
  </si>
  <si>
    <t>MH Community Clinic 72 5 10 76 30</t>
  </si>
  <si>
    <t>MH Vocational/Employment 72 5 10 76 40</t>
  </si>
  <si>
    <t>MH Clubhouses 72 5 10 76 41</t>
  </si>
  <si>
    <t>MH Child/Adolescent 72 5 10 76 50</t>
  </si>
  <si>
    <t>MH Early Intervention 72 5 10 76 51</t>
  </si>
  <si>
    <t>MH Forensic 72 5 10 76 55</t>
  </si>
  <si>
    <t>MH Diversion and Court Support 72 5 10 76 56</t>
  </si>
  <si>
    <t>MH Abuse Services 72 5 10 76 60</t>
  </si>
  <si>
    <t>MH Eating Disorders 72 5 10 76 70</t>
  </si>
  <si>
    <t>MH Social Rehab./Recreation 72 5 10 76 81</t>
  </si>
  <si>
    <t>MH Psycho-geriatric 72 5 10 76 96</t>
  </si>
  <si>
    <t>Other MH Services not elsewhere  identified 72 5 10 76 99</t>
  </si>
  <si>
    <t>Addictions Treatment-Substance Abuse 72 5 10 78 11</t>
  </si>
  <si>
    <t>Addictions Treatment-Problem Gambling  72 5 10 78 12</t>
  </si>
  <si>
    <t>Addictions Withdrawal Mgmt. 72 5 10 78 20</t>
  </si>
  <si>
    <t>Crisis Intervention - Hot Lines 72 5 15 10</t>
  </si>
  <si>
    <t>Crisis Intervention - Abuse Services 72 5 15 15</t>
  </si>
  <si>
    <t>Crisis Intervention - Quick Response 72 5 15 20</t>
  </si>
  <si>
    <t>Crisis Intervention - Victim Services 72 5 15 25</t>
  </si>
  <si>
    <t>Crisis Intervention - Combined 72 5 15 30</t>
  </si>
  <si>
    <t>Crisis Intervention - Mental Health 72 5 15 76</t>
  </si>
  <si>
    <t>Day/Night Combined 72 5 20 30</t>
  </si>
  <si>
    <t>Day/Night Care Mental Health General 72 5 20 76 10</t>
  </si>
  <si>
    <t>Day/Night Care Mental Health MH eating Disorder 72 5 20 76 70</t>
  </si>
  <si>
    <t>Day/Evening Addictions Treatment 72 5 20 78 10</t>
  </si>
  <si>
    <t>COM Day Care - Rehab Medical 72 5 20 81 10</t>
  </si>
  <si>
    <t>COM Day Care - Rehab Trauma 72 5 20 81 28</t>
  </si>
  <si>
    <t>Day Care - Rehab Combined 72 5 20 81 30</t>
  </si>
  <si>
    <t>COM Day Care - Rehab Burn 72 5 20 81 35</t>
  </si>
  <si>
    <t>COM Day Care - Rehab Cardiac 72 5 20 81 42</t>
  </si>
  <si>
    <t>COM Day Care - Rehab Head Injury/Acquired Brain Injury 72 5 20 81 61</t>
  </si>
  <si>
    <t>COM Day Care - Rehab Spinal Cord 72 5 20 81 63</t>
  </si>
  <si>
    <t>COM Day Care - Rehab Oncology 72 5 20 81 66</t>
  </si>
  <si>
    <t>COM Day Care - Rehab Orthopedic 72 5 20 81 72</t>
  </si>
  <si>
    <t>COM Day Care - Rehab Amputee Rehab 72 5 20 81 73</t>
  </si>
  <si>
    <t>COM Day Care - Rehab Care Pediatric 72 5 20 81 74</t>
  </si>
  <si>
    <t>COM Day Care Regional Geriatric 72 5 20 96</t>
  </si>
  <si>
    <t>In-Home HPS - Nursing - Visiting 72 5 30 40 11</t>
  </si>
  <si>
    <t>In-Home HPS - Nursing - Shift 72 5 30 40 12</t>
  </si>
  <si>
    <t>In-Home HPS -  Remote – Managed Home Care 72 5 30 40 13</t>
  </si>
  <si>
    <t>In-Home HPS – Wound Care Outcome 72 5 30 40 20</t>
  </si>
  <si>
    <t>In-Home HPS - Orthopedic Care Outcome 72 5 30 40 25</t>
  </si>
  <si>
    <t>In-Home HPS - Respiratory Services 72 5 30 40 35</t>
  </si>
  <si>
    <t>In-Home HPS - Family Managed Care 72 5 30 40 30</t>
  </si>
  <si>
    <t>72 5 30 40 30</t>
  </si>
  <si>
    <t>In-Home HPS – Medication Management 72 5 30 40 40</t>
  </si>
  <si>
    <t>In-Home HPS - Nutrition/Dietetic 72 5 30 40 45</t>
  </si>
  <si>
    <t>In-Home HPS - Physiotherapy 72 5 30 40 50</t>
  </si>
  <si>
    <t>In-Home HPS - Occupational Therapy 72 5 30 40 55</t>
  </si>
  <si>
    <t>In-Home HPS - Speech Lang. Path. 72 5 30 40 62</t>
  </si>
  <si>
    <t>In-Home HPS - Social Work 72 5 30 40 70</t>
  </si>
  <si>
    <t>In-Home HPS - Psychology 72 5 30 40 75</t>
  </si>
  <si>
    <t>Private/Home SHPS - Nursing - Visiting 72 5 30 42 11</t>
  </si>
  <si>
    <t>Private/Home SHPS - Nursing - Shift 72 5 30 42 12</t>
  </si>
  <si>
    <t>Private/Home SHPS - Family Managed Homce Care 72 5 30 42 30</t>
  </si>
  <si>
    <t>72 5 30 42 30</t>
  </si>
  <si>
    <t>Private/Home SHPS - Nutrition/Dietetic 72 5 30 42 45</t>
  </si>
  <si>
    <t>Private/Home SHPS - Physiotherapy 72 5 30 42 50</t>
  </si>
  <si>
    <t>Private/Home SHPS - Occupational Therapy 72 5 30 42 55</t>
  </si>
  <si>
    <t>Private/Home SHPS - Speech Lang. Path. 72 5 30 42 62</t>
  </si>
  <si>
    <t>Public SHPS - Nursing - Visiting 72 5 30 44 11</t>
  </si>
  <si>
    <t>Public SHPS - Nursing - Shift 72 5 30 44 12</t>
  </si>
  <si>
    <t>Public SHPS - Nutrition/Dietetic 72 5 30 44 45</t>
  </si>
  <si>
    <t>Public SHPS - Physiotherapy 72 5 30 44 50</t>
  </si>
  <si>
    <t>Public SHPS - Occ.  Therapy 72 5 30 44 55</t>
  </si>
  <si>
    <t>Public SHPS - Speech Lang. Path. 72 5 30 44 62</t>
  </si>
  <si>
    <t>MH Home Care - Psychiatric Follow-Up 72 5 30 76 10</t>
  </si>
  <si>
    <t>MH Home Care - Psychiatric Acute 72 5 30 76 25</t>
  </si>
  <si>
    <t>MH Home Care - Child/Adolescent 72 5 30 76 50</t>
  </si>
  <si>
    <t>MH Home Care - Forensic Psychiatry 72 5 30 76 55</t>
  </si>
  <si>
    <t>MH Home Care - Psychiatric Rehab 72 5 30 76 81</t>
  </si>
  <si>
    <t>MH Home Care - Psychiatric Crisis 72 5 30 76 90</t>
  </si>
  <si>
    <t>MH Home Care - Longer Term 72 5 30 76 95</t>
  </si>
  <si>
    <t>MH Home Care - Geriatric Psych. Assess. 72 5 30 76 96</t>
  </si>
  <si>
    <t>Addictions Home Care - Addictions 72 5 30 78 10</t>
  </si>
  <si>
    <t>Onlcology Home Care 72 5 30 66</t>
  </si>
  <si>
    <t>Home Care - Community Paramedicine 72 5 30 80 05</t>
  </si>
  <si>
    <t>Dialysis Home Care 72 5 30 86</t>
  </si>
  <si>
    <t>Palliative Home Care 72 5 30 94</t>
  </si>
  <si>
    <t>In-Home Support - Personal Support 72 5 35 40 10</t>
  </si>
  <si>
    <t>In-Home Support  - Homemaking Services 72 5 35 40 20</t>
  </si>
  <si>
    <t>In-Home Support - Comb. PS and HM Services 72 5 35 40 30</t>
  </si>
  <si>
    <t>In-Home Support - Family Managed Home Care 72 5 35 40 40</t>
  </si>
  <si>
    <t>72 5 35 40 40</t>
  </si>
  <si>
    <t>School Health Personal Support Services (SHPSS) 72 5 35 42 10</t>
  </si>
  <si>
    <t>Respite Service 72 5 35 45</t>
  </si>
  <si>
    <t>Res. Mental Health - Homes for Special Care 72 5 40 76 10</t>
  </si>
  <si>
    <t>Res. Mental Health - Support within Housing 72 5 40 76 30</t>
  </si>
  <si>
    <t>Res. Mental Health - Housing Bricks &amp; Mortar 72 5 40 76 40</t>
  </si>
  <si>
    <t>Res. Mental Health - Rent Supplement Program 72 5 40 76 50</t>
  </si>
  <si>
    <t>Res. Mental Health - Short Term Crisis Support Beds 72 5 40 76 60</t>
  </si>
  <si>
    <t>COM Residential Addiction - Treatment Services-Substance Abuse 72 5 40 78 11</t>
  </si>
  <si>
    <t>COM Residential Addiction - Treatment Services-Problem Gambling 72 5 40 78 12</t>
  </si>
  <si>
    <t>COM Residential Addiction - Supportive Treatment 72 5 40 78 30</t>
  </si>
  <si>
    <t>COM Residential Addictions - Housing Bricks &amp; Mortar 72 5 40 78 40</t>
  </si>
  <si>
    <t>COM Residential Addiction - Withdrawal Management Centres 72 5 40 78 45</t>
  </si>
  <si>
    <t>COM – Residential Addiction - Substance Abuse – Rent Supplement Program 72 5 40 75 50</t>
  </si>
  <si>
    <t>Residential Hospice - EOL-Nursing Visiting 72 5 40 95 11</t>
  </si>
  <si>
    <t>Residential Hospice - EOL-Nursing Shift 72 5 40 95 12</t>
  </si>
  <si>
    <t>Residential Hospice - EOL-Combined PS and HM Services 72 5 40 95 30</t>
  </si>
  <si>
    <t>Residential Hospice - EOL-Nutrition/Dietetic 72 5 40 95 45</t>
  </si>
  <si>
    <t>Residential Hospice - EOL-Physiotherapy 72 5 40 95 50</t>
  </si>
  <si>
    <t>Residential Hospice - EOL-Occupational Therapy 72 5 40 95 55</t>
  </si>
  <si>
    <t>Residential Hospice - EOL-Speech Language Pathology 72 5 40 95 62</t>
  </si>
  <si>
    <t>Residential Hospice - EOL-Social Work 72 5 40 95 70</t>
  </si>
  <si>
    <t>Health Prom/Educ &amp; Dev - General 72 5 50 10</t>
  </si>
  <si>
    <t>COM Health Prom/Educ.&amp; Com. Dev. – Health Promotion &amp; Community Development 72 5 50 12</t>
  </si>
  <si>
    <t>COM Health Prom/Educ. &amp; Com.Dev. – Community Engagement and Capacity Building 72 5 50 14</t>
  </si>
  <si>
    <t>Health Prom/Educ. &amp; Com. Dev.- Chronic Disease Education, Awareness and Prevention- General 72 5 50 35 10</t>
  </si>
  <si>
    <t>Health Prom/Educ. &amp; Com. Dev.- Chronic Disease Education, Awareness and Prevention- Diabetes 72 5 50 35 20</t>
  </si>
  <si>
    <t>Health Prom/Educ. &amp; Com. Dev.- Chronic Disease Education, Awareness and Prevention- Asthma 72 5 50 35 30</t>
  </si>
  <si>
    <t>72 5 50 35 30</t>
  </si>
  <si>
    <t>Health Prom/Educ. &amp; Com. Dev.- Chronic Disease Education, Awareness and Prevention- Hepetitis C / HIV/AIDS 72 5 50 35 40</t>
  </si>
  <si>
    <t>72 5 50 35 40</t>
  </si>
  <si>
    <t>Health Prom/Educ.&amp; Com. Dev. - Chronic Disease Education, Awareness and Prevention – Cardiac  Rehabilitation 72 5 50 35 50</t>
  </si>
  <si>
    <t>Health Prom/Educ.&amp; Dev. – Diabetes Regional Coordination Centres 72 5 50 40 10</t>
  </si>
  <si>
    <t>Health Prom/Educ.&amp; Com. Dev. – Heart and Stroke General 72 5 50 42 10</t>
  </si>
  <si>
    <t>Health Prom/Educ.&amp; Com. Dev. – Stroke Strategy (Practice Guidelines) 72 5 50 42 20</t>
  </si>
  <si>
    <t>Health Prom/Educ.&amp; Com. Dev. - Personal Health and Wellness – General 72 5 50 45 05</t>
  </si>
  <si>
    <t>Health Prom/Educ.&amp; Com. Dev. - Personal Health and Wellness – Mental Wellness, Personal Health Practices and Coping Skills  72 5 50 45 10</t>
  </si>
  <si>
    <t>Health Prom/Educ.&amp; Com. Dev. - Personal Health and Wellness – Oral Health 72 5 50 45 20</t>
  </si>
  <si>
    <t>Health Prom/Educ.&amp; Com. Dev. - Personal Health and Wellness –  Healthy Child 72 5 50 45 30</t>
  </si>
  <si>
    <t>Health Prom/Educ.&amp; Com. Dev - Personal Health and Wellness – Youth Development 72 5 50 45 40</t>
  </si>
  <si>
    <t>Health Prom/Educ.&amp; Com. Dev. - Family Clinics 72 5 50 50</t>
  </si>
  <si>
    <t>Health Promotion/Education - Oncology General 72 5 50 66 10</t>
  </si>
  <si>
    <t>Health Promotion/Education - Oncology Practice Guidelines 72 5 50 66 20</t>
  </si>
  <si>
    <t>Health Promotion/Education - Mental Health &amp; Additictions (Home Care) 72 5 50 75 10</t>
  </si>
  <si>
    <t>Health Prom. /Education MH - Awareness 72 5 50 76 10</t>
  </si>
  <si>
    <t>Health Promo. /Education MH - Women 72 5 50 76 30</t>
  </si>
  <si>
    <t>Health Promo. /Education MH  - Community  Development 72 5 50 76 40</t>
  </si>
  <si>
    <t>Health Prom./Educ. Addictions - Drug Awareness 72 5 50 78 10</t>
  </si>
  <si>
    <t>Health Prom./Educ  Addictions - Problem Gambling  Awareness 72 5 50 78 20</t>
  </si>
  <si>
    <t>Health Prom./Educ. Addictions - Community  Development-Substance Abuse 72 5 50 78 40</t>
  </si>
  <si>
    <t>CHC Client Support Services 72 5 85</t>
  </si>
  <si>
    <t>Health Prom. /Educ - Palliative Care Interdisciplinary 72 5 50 94 10</t>
  </si>
  <si>
    <t>Health Prom. /Educ - Palliative Care Physician 72 5 50 94 90</t>
  </si>
  <si>
    <t>Health Prom. /Educ - Palliative Care Pain and Symptom  Management 72 5 50 94 91</t>
  </si>
  <si>
    <t>Health Prom/Educ &amp; Dev - General Geriatric 72 5 50 96 10</t>
  </si>
  <si>
    <t>Health Prom/Educ &amp; Dev - Psycho-Geriatric 72 5 50 96 76</t>
  </si>
  <si>
    <t>Consumer Survivor Initiatives - Peer/Self Help 72 5 51 76 11</t>
  </si>
  <si>
    <t>Consumer Survivor Initiatives - Alternative Businesses 72 5 51 76 12</t>
  </si>
  <si>
    <t>Consumer Survivor Initiatives - Family Initiatives 72 5 51 76 20</t>
  </si>
  <si>
    <t>COM Comm. Disease Prev. and Control – General 72 5 54 *</t>
  </si>
  <si>
    <t>72 5 54 *</t>
  </si>
  <si>
    <t>COM Promotion and Prevention 72 5 58 *</t>
  </si>
  <si>
    <t>72 5 58 *</t>
  </si>
  <si>
    <t>COM Environmental Health 72 5 60</t>
  </si>
  <si>
    <t>COM Licensing 72 5 65</t>
  </si>
  <si>
    <t>Information and Referral Service - General 72 5 70 10</t>
  </si>
  <si>
    <t>Information and Referral Service - Provincial Mental Health 72 5 70 76</t>
  </si>
  <si>
    <t>Information and Referral Service - Provincial - Substance Abuse 72 5 70 78 11</t>
  </si>
  <si>
    <t>Information and Referral Service - Provincial - Problem Gambling 72 5 70 78 12</t>
  </si>
  <si>
    <t>Provincial &amp; Regional Health System Development 72 5 75</t>
  </si>
  <si>
    <t>CSS IH - Service Arrangement/Coordination 72 5 82 05</t>
  </si>
  <si>
    <t>CSS IH - Case Management 72 5 82 09</t>
  </si>
  <si>
    <t>CSS IH - Meals Delivery 72 5 82 10</t>
  </si>
  <si>
    <t>CSS IH - Social and Congregate Dining 72 5 82 12</t>
  </si>
  <si>
    <t>CSS IH - Transportation - Client 72 5 82 14</t>
  </si>
  <si>
    <t>CSS IH - Crisis Intervention and Support 72 5 82 15</t>
  </si>
  <si>
    <t>CSS IH - Day Services 72 5 82 20</t>
  </si>
  <si>
    <t>CSS IH - Homemaking 72 5 82 31</t>
  </si>
  <si>
    <t>CSS IH - Home Maintenance 72 5 82 32</t>
  </si>
  <si>
    <t>CSS IH - Personal Support/Independence Training 72 5 82 33</t>
  </si>
  <si>
    <t>CSS IH - Respite 72 5 82 34</t>
  </si>
  <si>
    <t>CSS IH - Comb. PS/HM/Respite Services 72 5 82 35</t>
  </si>
  <si>
    <t>CSS IH - Overnight Stay Care 72 5 82 40</t>
  </si>
  <si>
    <t>CSS IH -  Assisted Living Services 72 5 82 45</t>
  </si>
  <si>
    <t>CSS IH - Caregiver Support 72 5 82 50</t>
  </si>
  <si>
    <t>CSS IH - Emergency Response Support Services 72 5 82 55</t>
  </si>
  <si>
    <t>CSS IH - Visiting - Social and Safety 72 5 82 60</t>
  </si>
  <si>
    <t>CSS IH - Visiting - Hospice Services 72 5 82 65</t>
  </si>
  <si>
    <t>CSS IH - Foot Care  Services 72 5 82 70</t>
  </si>
  <si>
    <t>CSS IH - Vision Rehabilitation Services 72 5 82 75</t>
  </si>
  <si>
    <t>CSS IH - Deaf, Deafened and Hard of Hearing Care Services 72 5 82 77</t>
  </si>
  <si>
    <t>CSS ABI - Day Services 72 5 83 20</t>
  </si>
  <si>
    <t>CSS ABI - Vocational Training and Education Services 72 5 83 30</t>
  </si>
  <si>
    <t>CSS ABI - Personal Support/Independence Training 72 5 83 33</t>
  </si>
  <si>
    <t>CSS ABI - Assisted Living Services 72 5 83 45</t>
  </si>
  <si>
    <t>CSS Com Sup Init - Support Service Training 72 5 84 10</t>
  </si>
  <si>
    <t>CSS Com Sup Init - Self Managed Attendant Services 72 5 84 20</t>
  </si>
  <si>
    <t>CSS Com Sup Init - Personal Support Worker Training 72 5 84 30</t>
  </si>
  <si>
    <t>CHC Research - Community Health and Social Services 72 7 50</t>
  </si>
  <si>
    <t>Education-In Service 72 8 40</t>
  </si>
  <si>
    <t>M</t>
  </si>
  <si>
    <t xml:space="preserve">Inpatient/ Resident Days </t>
  </si>
  <si>
    <r>
      <rPr>
        <b/>
        <sz val="11"/>
        <color theme="8"/>
        <rFont val="Calibri"/>
        <family val="2"/>
        <scheme val="minor"/>
      </rPr>
      <t>[1]</t>
    </r>
    <r>
      <rPr>
        <sz val="11"/>
        <color theme="1"/>
        <rFont val="Calibri"/>
        <family val="2"/>
        <scheme val="minor"/>
      </rPr>
      <t xml:space="preserve"> The unit costs for service volume adjustment requests should align to the unit costs agreed upon in the current Multi-Sector Service Accountability Agreement (M-SAA) and/or the associated funding letters.</t>
    </r>
  </si>
  <si>
    <t>Add to Recoveries</t>
  </si>
  <si>
    <t>Rationale</t>
  </si>
  <si>
    <t>Table</t>
  </si>
  <si>
    <t>Table Index</t>
  </si>
  <si>
    <t>Check Line</t>
  </si>
  <si>
    <t>Table Unique Index</t>
  </si>
  <si>
    <r>
      <t xml:space="preserve">Instructions: Use the chart below to request to use surplus funds for purchases $5,000 or more. </t>
    </r>
    <r>
      <rPr>
        <b/>
        <sz val="11"/>
        <color theme="8"/>
        <rFont val="Calibri"/>
        <family val="2"/>
        <scheme val="minor"/>
      </rPr>
      <t>[1]</t>
    </r>
  </si>
  <si>
    <r>
      <rPr>
        <b/>
        <sz val="11"/>
        <color theme="8"/>
        <rFont val="Calibri"/>
        <family val="2"/>
        <scheme val="minor"/>
      </rPr>
      <t>[1]</t>
    </r>
    <r>
      <rPr>
        <sz val="11"/>
        <rFont val="Calibri"/>
        <family val="2"/>
        <scheme val="minor"/>
      </rPr>
      <t xml:space="preserve"> </t>
    </r>
    <r>
      <rPr>
        <u/>
        <sz val="11"/>
        <rFont val="Calibri"/>
        <family val="2"/>
        <scheme val="minor"/>
      </rPr>
      <t xml:space="preserve">Approval Required for Purchases of $5,000 or More: </t>
    </r>
    <r>
      <rPr>
        <sz val="11"/>
        <rFont val="Calibri"/>
        <family val="2"/>
        <scheme val="minor"/>
      </rPr>
      <t>Community Financial Policy Section 1.0, Requirement #5 &amp; #6, HSPs are required to seek Ontario Health Central (LHIN) approval in writing for any purchases $5,000 or more.</t>
    </r>
  </si>
  <si>
    <r>
      <rPr>
        <b/>
        <sz val="11"/>
        <color theme="8"/>
        <rFont val="Calibri"/>
        <family val="2"/>
        <scheme val="minor"/>
      </rPr>
      <t>[2]</t>
    </r>
    <r>
      <rPr>
        <sz val="11"/>
        <rFont val="Calibri"/>
        <family val="2"/>
        <scheme val="minor"/>
      </rPr>
      <t xml:space="preserve"> Service activity adjustments are only required when proposing to increase service in relation to the functional center</t>
    </r>
  </si>
  <si>
    <r>
      <rPr>
        <b/>
        <sz val="11"/>
        <color theme="8"/>
        <rFont val="Calibri"/>
        <family val="2"/>
        <scheme val="minor"/>
      </rPr>
      <t>[1]</t>
    </r>
    <r>
      <rPr>
        <sz val="11"/>
        <rFont val="Calibri"/>
        <family val="2"/>
        <scheme val="minor"/>
      </rPr>
      <t xml:space="preserve"> Refer to the Memorandum for a list of Transfer Payment Business Entities (TPBEs).</t>
    </r>
  </si>
  <si>
    <t>Brief Description of Application 
and Item Requested</t>
  </si>
  <si>
    <t>Restricted</t>
  </si>
  <si>
    <t>Surplus</t>
  </si>
  <si>
    <r>
      <rPr>
        <b/>
        <sz val="11"/>
        <color theme="8"/>
        <rFont val="Calibri"/>
        <family val="2"/>
        <scheme val="minor"/>
      </rPr>
      <t>[2]</t>
    </r>
    <r>
      <rPr>
        <sz val="11"/>
        <rFont val="Calibri"/>
        <family val="2"/>
        <scheme val="minor"/>
      </rPr>
      <t xml:space="preserve"> If Restricted funding is indicated, please provide a source in comments column</t>
    </r>
  </si>
  <si>
    <r>
      <t xml:space="preserve">Additional Comments </t>
    </r>
    <r>
      <rPr>
        <b/>
        <sz val="11"/>
        <color theme="8"/>
        <rFont val="Calibri"/>
        <family val="2"/>
        <scheme val="minor"/>
      </rPr>
      <t>[2]</t>
    </r>
  </si>
  <si>
    <t>Amount(s) to be Recovered by Ontario Health</t>
  </si>
  <si>
    <t>Ontario Health Recovery</t>
  </si>
  <si>
    <t>Surplus TPBE</t>
  </si>
  <si>
    <t>FC</t>
  </si>
  <si>
    <t>Net Surplus to be Reallocated and/or Recovered</t>
  </si>
  <si>
    <t>Surplus Drop-Down</t>
  </si>
  <si>
    <t>Surplus Index</t>
  </si>
  <si>
    <t>Recovery Amount</t>
  </si>
  <si>
    <t>Surplus Requested</t>
  </si>
  <si>
    <t>Restricted Amount (If Applicable)</t>
  </si>
  <si>
    <t>CHC</t>
  </si>
  <si>
    <t>CHC - Non-Insured</t>
  </si>
  <si>
    <t xml:space="preserve">Community Health Centre </t>
  </si>
  <si>
    <t>Community Health Centre (Non-Insured)</t>
  </si>
  <si>
    <t>CHC - Physician</t>
  </si>
  <si>
    <t>Community Health Centre (Physician)</t>
  </si>
  <si>
    <t>Surplus to be Reallocated</t>
  </si>
  <si>
    <t>Surplus to be Recovered by OH</t>
  </si>
  <si>
    <t>FC Surplus</t>
  </si>
  <si>
    <t>Reallocated</t>
  </si>
  <si>
    <t>Recovery</t>
  </si>
  <si>
    <t>Total</t>
  </si>
  <si>
    <r>
      <t xml:space="preserve">Enter Service Volume Adjustments Corresponding to Recoveries </t>
    </r>
    <r>
      <rPr>
        <b/>
        <sz val="16"/>
        <color theme="8"/>
        <rFont val="Calibri"/>
        <family val="2"/>
        <scheme val="minor"/>
      </rPr>
      <t>[1]</t>
    </r>
  </si>
  <si>
    <t>Enter Service Volume Adjustments Corresponding to Reallocations</t>
  </si>
  <si>
    <t>Surplus Amount Requested for Reallocation</t>
  </si>
  <si>
    <t>Net Forecasted Surplus</t>
  </si>
  <si>
    <t>Reallocation between/within Functional Centres</t>
  </si>
  <si>
    <t xml:space="preserve">Forecast Year-End Surplus </t>
  </si>
  <si>
    <t>(CMHP)</t>
  </si>
  <si>
    <t>(CSS)</t>
  </si>
  <si>
    <t xml:space="preserve">Substance Abuse Program </t>
  </si>
  <si>
    <t>(SAP)</t>
  </si>
  <si>
    <t>(PALC)</t>
  </si>
  <si>
    <t>(PG)</t>
  </si>
  <si>
    <t xml:space="preserve">Attendant Outreach </t>
  </si>
  <si>
    <t>(AO)</t>
  </si>
  <si>
    <t xml:space="preserve">Children’s Mental Health </t>
  </si>
  <si>
    <t>(CMH)</t>
  </si>
  <si>
    <t xml:space="preserve">Supportive Housing </t>
  </si>
  <si>
    <t>(SH)</t>
  </si>
  <si>
    <t xml:space="preserve">Acquired Brain Injury </t>
  </si>
  <si>
    <t>(ABI)</t>
  </si>
  <si>
    <t>(CHC)</t>
  </si>
  <si>
    <t>Request to use Surplus Funds</t>
  </si>
  <si>
    <t>HSP compliance criteria for the consideration of surplus funds for reallocation includes the following:</t>
  </si>
  <si>
    <r>
      <t>·</t>
    </r>
    <r>
      <rPr>
        <sz val="7"/>
        <color theme="1"/>
        <rFont val="Times New Roman"/>
        <family val="1"/>
      </rPr>
      <t xml:space="preserve">         </t>
    </r>
    <r>
      <rPr>
        <sz val="11"/>
        <color theme="1"/>
        <rFont val="Arial"/>
        <family val="2"/>
      </rPr>
      <t>Balanced budget; and</t>
    </r>
  </si>
  <si>
    <r>
      <t>·</t>
    </r>
    <r>
      <rPr>
        <sz val="7"/>
        <color theme="1"/>
        <rFont val="Times New Roman"/>
        <family val="1"/>
      </rPr>
      <t xml:space="preserve">         </t>
    </r>
    <r>
      <rPr>
        <sz val="11"/>
        <color theme="1"/>
        <rFont val="Arial"/>
        <family val="2"/>
      </rPr>
      <t>Meet the proportion of budget spent on administration requirement as per your organization’s M-SAA schedule D1.</t>
    </r>
  </si>
  <si>
    <r>
      <t>Note:</t>
    </r>
    <r>
      <rPr>
        <sz val="11"/>
        <color theme="1"/>
        <rFont val="Arial"/>
        <family val="2"/>
      </rPr>
      <t xml:space="preserve"> All requests to use surplus funds should be submitted through this process.  </t>
    </r>
  </si>
  <si>
    <t>Year-End Surplus Forecast for In-Year Recovery</t>
  </si>
  <si>
    <t xml:space="preserve">Ontario Health Central acknowledges that a recovery will not occur under the following scenarios during the current pandemic: </t>
  </si>
  <si>
    <r>
      <t>·</t>
    </r>
    <r>
      <rPr>
        <sz val="7"/>
        <color theme="1"/>
        <rFont val="Times New Roman"/>
        <family val="1"/>
      </rPr>
      <t xml:space="preserve">         </t>
    </r>
    <r>
      <rPr>
        <sz val="11"/>
        <color theme="1"/>
        <rFont val="Arial"/>
        <family val="2"/>
      </rPr>
      <t>HSP has modified their program(s) to address the needs of clients, i.e. virtual care;</t>
    </r>
  </si>
  <si>
    <r>
      <t>·</t>
    </r>
    <r>
      <rPr>
        <sz val="7"/>
        <color theme="1"/>
        <rFont val="Times New Roman"/>
        <family val="1"/>
      </rPr>
      <t xml:space="preserve">         </t>
    </r>
    <r>
      <rPr>
        <sz val="11"/>
        <color theme="1"/>
        <rFont val="Arial"/>
        <family val="2"/>
      </rPr>
      <t>HSP has modified their program(s) in accordance with Public Health’s IPAC guidelines;</t>
    </r>
  </si>
  <si>
    <r>
      <t>·</t>
    </r>
    <r>
      <rPr>
        <sz val="7"/>
        <color theme="1"/>
        <rFont val="Times New Roman"/>
        <family val="1"/>
      </rPr>
      <t xml:space="preserve">         </t>
    </r>
    <r>
      <rPr>
        <sz val="11"/>
        <color theme="1"/>
        <rFont val="Arial"/>
        <family val="2"/>
      </rPr>
      <t>HSP has re-deployed staff to Long-Term Care Homes or congregate setting; and</t>
    </r>
  </si>
  <si>
    <r>
      <t>·</t>
    </r>
    <r>
      <rPr>
        <sz val="7"/>
        <color theme="1"/>
        <rFont val="Times New Roman"/>
        <family val="1"/>
      </rPr>
      <t xml:space="preserve">         </t>
    </r>
    <r>
      <rPr>
        <sz val="11"/>
        <color theme="1"/>
        <rFont val="Arial"/>
        <family val="2"/>
      </rPr>
      <t>HSP has re-deployed staff to support patients during the pandemic in partnership with other HSPs</t>
    </r>
  </si>
  <si>
    <t xml:space="preserve">Ontario Health Central requests that in the above scenarios, the HSP works with and keeps OH Central informed through the HSP SBAR tool, quarterly reporting and when required email. In a scenario where the HSPs have closed down program(s) and are not incurring staffing expenses, OH Central recovery of the surplus should be anticipated. </t>
  </si>
  <si>
    <t>[2] Excludes dedicated funding envelopes – Sessional Fees (SF) and Psychiatric Outpatient Medical Salaries (POMS).</t>
  </si>
  <si>
    <t>In-Year Surplus Requests</t>
  </si>
  <si>
    <t xml:space="preserve">[1] Community Financial Policy (2016), Section 4.4 – In-Year Reallocations: “HSPs need to ensure accurate fiscal forecasts in the quarterly reports to the Ontario Health (formerly known as LHIN) or Ministry.  Confirmed forecasts of unspent Ontario Health (formerly known as LHIN) or Ministry funding may be recovered within the fiscal year and reallocated to address one-time financial pressures in other HSPs.” </t>
  </si>
  <si>
    <t>Group</t>
  </si>
  <si>
    <t>Group Num</t>
  </si>
  <si>
    <t>MHA</t>
  </si>
  <si>
    <t>Column1</t>
  </si>
  <si>
    <t>Total Amount Reallocated</t>
  </si>
  <si>
    <t>Reallocation Type</t>
  </si>
  <si>
    <t>From</t>
  </si>
  <si>
    <t>Direction</t>
  </si>
  <si>
    <t>↓ Example ↓</t>
  </si>
  <si>
    <t>To</t>
  </si>
  <si>
    <t>Adj. Amount</t>
  </si>
  <si>
    <t>In the below example, funds are being reallocated from the FC in line 1 to the FC in line 2</t>
  </si>
  <si>
    <t>TPBE Surplus List</t>
  </si>
  <si>
    <t>TPBE Surplus Index</t>
  </si>
  <si>
    <t>TPBE Surplus Check</t>
  </si>
  <si>
    <t>Net Reallocation → Must Equal 0</t>
  </si>
  <si>
    <t>Check TPBE Group Surplus</t>
  </si>
  <si>
    <t>Example</t>
  </si>
  <si>
    <t>Sector</t>
  </si>
  <si>
    <r>
      <t xml:space="preserve">Transfer Payment Business Entity (TPBE)
</t>
    </r>
    <r>
      <rPr>
        <b/>
        <sz val="11"/>
        <color rgb="FFFF0000"/>
        <rFont val="Calibri"/>
        <family val="2"/>
        <scheme val="minor"/>
      </rPr>
      <t>NOTE: Can only select within same Sector as indicated Surplus</t>
    </r>
  </si>
  <si>
    <t>TPBE Sector Check Reallocation</t>
  </si>
  <si>
    <t>TPBE Starting Surplus</t>
  </si>
  <si>
    <t>Column2</t>
  </si>
  <si>
    <t>TPBE Surplus Used</t>
  </si>
  <si>
    <t>Instructions: Identify any 2022-23 forecasted surplus in the chart below.</t>
  </si>
  <si>
    <r>
      <t xml:space="preserve">Ontario Health Central is reaching out to the Community Health Service Providers (HSPs) requesting the completion of the attached </t>
    </r>
    <r>
      <rPr>
        <b/>
        <sz val="11"/>
        <color theme="1"/>
        <rFont val="Arial"/>
        <family val="2"/>
      </rPr>
      <t>2022-23 In-Year Surplus Requests</t>
    </r>
    <r>
      <rPr>
        <sz val="11"/>
        <color theme="1"/>
        <rFont val="Arial"/>
        <family val="2"/>
      </rPr>
      <t xml:space="preserve"> for forecasted year-end surpluses and requests for HSP reallocations. </t>
    </r>
  </si>
  <si>
    <r>
      <t>In accordance with Community Financial Policy</t>
    </r>
    <r>
      <rPr>
        <vertAlign val="superscript"/>
        <sz val="11"/>
        <color theme="1"/>
        <rFont val="Arial"/>
        <family val="2"/>
      </rPr>
      <t>[1]</t>
    </r>
    <r>
      <rPr>
        <sz val="11"/>
        <color theme="1"/>
        <rFont val="Arial"/>
        <family val="2"/>
      </rPr>
      <t>, please identify potential surpluses for your organization for the fiscal year ending March 31, 2023. The identify surplus provides Ontario Health (OH) Central with an opportunity to redirect forecasted year-end surpluses to strategic priorities and pressures within the healthcare system.</t>
    </r>
  </si>
  <si>
    <r>
      <t>The forecast is to be based on actual data for the period of April 1, 2022 to present and projected for the remaining fiscal year based on historical performance and professional judgement, aligned to yearend budget targets. The forecast should also align to the provider’s Self Reporting Initiative (SRI) - Community Quarterly Report. This forecast applies to Fund Type 2 for community programs delivered by community providers and hospitals under the following Transfer Payment Business Entities (TPBEs)</t>
    </r>
    <r>
      <rPr>
        <vertAlign val="superscript"/>
        <sz val="11"/>
        <color theme="1"/>
        <rFont val="Arial"/>
        <family val="2"/>
      </rPr>
      <t>[2]</t>
    </r>
    <r>
      <rPr>
        <sz val="11"/>
        <color theme="1"/>
        <rFont val="Arial"/>
        <family val="2"/>
      </rPr>
      <t>:</t>
    </r>
  </si>
  <si>
    <r>
      <t>Any identified surplus will be recovered by OH Central</t>
    </r>
    <r>
      <rPr>
        <sz val="10"/>
        <color theme="1"/>
        <rFont val="Calibri"/>
        <family val="2"/>
        <scheme val="minor"/>
      </rPr>
      <t xml:space="preserve"> </t>
    </r>
    <r>
      <rPr>
        <sz val="11"/>
        <color theme="1"/>
        <rFont val="Arial"/>
        <family val="2"/>
      </rPr>
      <t xml:space="preserve">to support strategic priorities and pressures within the healthcare system. Providers will continue to be expected to maintain a balanced budget by 2022-23 yearend.  </t>
    </r>
  </si>
  <si>
    <t xml:space="preserve">Please complete the 2022-23 In-Year Surplus Requests template to include the following information:
1. HSP Information, including authorized signatory (HSP Info)
2. Section 1: Forecasted Surplus including TPBE, Functional Centre (F/C)  Name and Number from which the surplus is coming from.
3. Section 2: Request to Use Forecasted Surplus Funds (for purchases $5,000 or more1) includes, F/C, brief description of the application and rationale.
4. The amount(s) to be recovered will populate automatically with the completion of Section 1 and 2. 
</t>
  </si>
  <si>
    <t>If you have any questions, please contact Jenna Mitchell, Lead, Performance, Accountability and Funding Allocation, at Jenna.Mitchell@ontariohealth.ca.</t>
  </si>
  <si>
    <t>2022-23 Forecasted Surplus/One-Time Funding ($)</t>
  </si>
  <si>
    <t>Psychiatric Outpatient Medical Salaries</t>
  </si>
  <si>
    <t>(POMS)</t>
  </si>
  <si>
    <t>Sessional Fees</t>
  </si>
  <si>
    <t>(SF)</t>
  </si>
  <si>
    <t>Ontario Health - Home Care</t>
  </si>
  <si>
    <t>(OH-HC)</t>
  </si>
  <si>
    <t>OH-HC</t>
  </si>
  <si>
    <t>TPBE Surplus Drop-Down</t>
  </si>
  <si>
    <t>TPBE Surplus DD Index</t>
  </si>
  <si>
    <t>POMS</t>
  </si>
  <si>
    <t>SF</t>
  </si>
  <si>
    <t>Group Type</t>
  </si>
  <si>
    <t>TPBE Surplus Group Type</t>
  </si>
  <si>
    <t>Please complete the In-Year Surplus Requests template and submit through:
·        SRI if submitting prior to November 7, 2022; or 
·        email to OH-Central.Reporting@OntarioHealth.ca with the subject line “2022-23 Forecast Year-End Surplus for In-Year Reallocation Requests and Recovery” if providing a request after November 7, 2022 .  
All OH Central HSPs are required to respond to this inquiry by either confirming a surplus for recovery or a projection of Fund Type 2 balanced budgeted by November 7,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</si>
</sst>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4" formatCode="_(&quot;$&quot;* #,##0.00_);_(&quot;$&quot;* \(#,##0.00\);_(&quot;$&quot;* &quot;-&quot;??_);_(@_)"/>
    <numFmt numFmtId="43" formatCode="_(* #,##0.00_);_(* \(#,##0.00\);_(* &quot;-&quot;??_);_(@_)"/>
    <numFmt numFmtId="164" formatCode="_(&quot;$&quot;* #,##0_);_(&quot;$&quot;* \(#,##0\);_(&quot;$&quot;* &quot;-&quot;??_);_(@_)"/>
    <numFmt numFmtId="165" formatCode="_(* #,##0_);_(* \(#,##0\);_(* &quot;-&quot;??_);_(@_)"/>
    <numFmt numFmtId="166" formatCode="_(&quot;$&quot;* #,##0_);_(&quot;$&quot;* \(#,##0\);"/>
    <numFmt numFmtId="167" formatCode="_(&quot;$&quot;* #,##0_);[Red]_(&quot;$&quot;* \(#,##0\);_(&quot;$&quot;* &quot;-&quot;_);_(@_)"/>
  </numFmts>
  <fonts count="34" x14ac:knownFonts="1">
    <font>
      <sz val="11"/>
      <color theme="1"/>
      <name val="Calibri"/>
      <family val="2"/>
      <scheme val="minor"/>
    </font>
    <font>
      <sz val="11"/>
      <color theme="1"/>
      <name val="Calibri"/>
      <family val="2"/>
      <scheme val="minor"/>
    </font>
    <font>
      <b/>
      <sz val="15"/>
      <color theme="3"/>
      <name val="Calibri"/>
      <family val="2"/>
      <scheme val="minor"/>
    </font>
    <font>
      <b/>
      <sz val="13"/>
      <color theme="3"/>
      <name val="Calibri"/>
      <family val="2"/>
      <scheme val="minor"/>
    </font>
    <font>
      <b/>
      <sz val="11"/>
      <color theme="1"/>
      <name val="Calibri"/>
      <family val="2"/>
      <scheme val="minor"/>
    </font>
    <font>
      <u/>
      <sz val="11"/>
      <color theme="10"/>
      <name val="Calibri"/>
      <family val="2"/>
      <scheme val="minor"/>
    </font>
    <font>
      <sz val="11"/>
      <name val="Calibri"/>
      <family val="2"/>
      <scheme val="minor"/>
    </font>
    <font>
      <b/>
      <sz val="11"/>
      <name val="Calibri"/>
      <family val="2"/>
      <scheme val="minor"/>
    </font>
    <font>
      <sz val="11"/>
      <color rgb="FFFF0000"/>
      <name val="Calibri"/>
      <family val="2"/>
      <scheme val="minor"/>
    </font>
    <font>
      <u/>
      <sz val="11"/>
      <name val="Calibri"/>
      <family val="2"/>
      <scheme val="minor"/>
    </font>
    <font>
      <b/>
      <sz val="12"/>
      <name val="Calibri"/>
      <family val="2"/>
      <scheme val="minor"/>
    </font>
    <font>
      <b/>
      <u/>
      <sz val="11"/>
      <color theme="10"/>
      <name val="Calibri"/>
      <family val="2"/>
      <scheme val="minor"/>
    </font>
    <font>
      <b/>
      <sz val="13"/>
      <name val="Calibri"/>
      <family val="2"/>
      <scheme val="minor"/>
    </font>
    <font>
      <b/>
      <sz val="11"/>
      <color theme="8"/>
      <name val="Calibri"/>
      <family val="2"/>
      <scheme val="minor"/>
    </font>
    <font>
      <sz val="11"/>
      <color theme="0"/>
      <name val="Calibri"/>
      <family val="2"/>
      <scheme val="minor"/>
    </font>
    <font>
      <b/>
      <sz val="16"/>
      <name val="Calibri"/>
      <family val="2"/>
      <scheme val="minor"/>
    </font>
    <font>
      <b/>
      <sz val="16"/>
      <color theme="1"/>
      <name val="Calibri"/>
      <family val="2"/>
      <scheme val="minor"/>
    </font>
    <font>
      <b/>
      <sz val="16"/>
      <color theme="8"/>
      <name val="Calibri"/>
      <family val="2"/>
      <scheme val="minor"/>
    </font>
    <font>
      <sz val="10"/>
      <color theme="1"/>
      <name val="Calibri"/>
      <family val="2"/>
      <scheme val="minor"/>
    </font>
    <font>
      <sz val="11"/>
      <color theme="1"/>
      <name val="Arial"/>
      <family val="2"/>
    </font>
    <font>
      <b/>
      <sz val="11"/>
      <color theme="1"/>
      <name val="Arial"/>
      <family val="2"/>
    </font>
    <font>
      <sz val="11"/>
      <color rgb="FF000000"/>
      <name val="Arial"/>
      <family val="2"/>
    </font>
    <font>
      <sz val="11"/>
      <color theme="1"/>
      <name val="Symbol"/>
      <family val="1"/>
      <charset val="2"/>
    </font>
    <font>
      <sz val="7"/>
      <color theme="1"/>
      <name val="Times New Roman"/>
      <family val="1"/>
    </font>
    <font>
      <sz val="11"/>
      <color rgb="FF0000FF"/>
      <name val="Arial"/>
      <family val="2"/>
    </font>
    <font>
      <sz val="10"/>
      <color theme="1"/>
      <name val="Arial"/>
      <family val="2"/>
    </font>
    <font>
      <sz val="11"/>
      <color theme="1"/>
      <name val="Calibri"/>
      <family val="2"/>
      <scheme val="minor"/>
    </font>
    <font>
      <b/>
      <sz val="11"/>
      <color theme="0"/>
      <name val="Calibri"/>
      <family val="2"/>
      <scheme val="minor"/>
    </font>
    <font>
      <b/>
      <sz val="11"/>
      <color rgb="FFFF0000"/>
      <name val="Calibri"/>
      <family val="2"/>
      <scheme val="minor"/>
    </font>
    <font>
      <sz val="11"/>
      <color rgb="FFFF0000"/>
      <name val="Arial"/>
      <family val="2"/>
    </font>
    <font>
      <vertAlign val="superscript"/>
      <sz val="11"/>
      <color theme="1"/>
      <name val="Arial"/>
      <family val="2"/>
    </font>
    <font>
      <sz val="8"/>
      <name val="Calibri"/>
      <family val="2"/>
      <scheme val="minor"/>
    </font>
    <font>
      <sz val="11"/>
      <color theme="1"/>
      <name val="Calibri"/>
      <family val="2"/>
      <scheme val="minor"/>
    </font>
    <font>
      <b/>
      <sz val="11"/>
      <color theme="1"/>
      <name val="Calibri"/>
      <family val="2"/>
      <scheme val="minor"/>
    </font>
  </fonts>
  <fills count="23">
    <fill>
      <patternFill patternType="none"/>
    </fill>
    <fill>
      <patternFill patternType="gray125"/>
    </fill>
    <fill>
      <patternFill patternType="solid">
        <fgColor theme="0" tint="-0.14999847407452621"/>
        <bgColor indexed="64"/>
      </patternFill>
    </fill>
    <fill>
      <patternFill patternType="solid">
        <fgColor theme="4" tint="0.59999389629810485"/>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theme="7" tint="0.39997558519241921"/>
        <bgColor indexed="64"/>
      </patternFill>
    </fill>
    <fill>
      <patternFill patternType="solid">
        <fgColor theme="6" tint="0.59999389629810485"/>
        <bgColor indexed="64"/>
      </patternFill>
    </fill>
    <fill>
      <patternFill patternType="solid">
        <fgColor theme="7" tint="0.79998168889431442"/>
        <bgColor indexed="64"/>
      </patternFill>
    </fill>
    <fill>
      <patternFill patternType="solid">
        <fgColor theme="5" tint="0.39997558519241921"/>
        <bgColor indexed="64"/>
      </patternFill>
    </fill>
    <fill>
      <patternFill patternType="solid">
        <fgColor theme="9" tint="0.59999389629810485"/>
        <bgColor indexed="64"/>
      </patternFill>
    </fill>
    <fill>
      <patternFill patternType="solid">
        <fgColor theme="5" tint="0.59996337778862885"/>
        <bgColor indexed="64"/>
      </patternFill>
    </fill>
    <fill>
      <patternFill patternType="solid">
        <fgColor theme="0"/>
        <bgColor indexed="64"/>
      </patternFill>
    </fill>
    <fill>
      <patternFill patternType="solid">
        <fgColor rgb="FF9999FF"/>
        <bgColor indexed="64"/>
      </patternFill>
    </fill>
    <fill>
      <patternFill patternType="solid">
        <fgColor theme="5"/>
        <bgColor indexed="64"/>
      </patternFill>
    </fill>
    <fill>
      <patternFill patternType="solid">
        <fgColor theme="9"/>
        <bgColor indexed="64"/>
      </patternFill>
    </fill>
    <fill>
      <patternFill patternType="solid">
        <fgColor rgb="FF9999FF"/>
        <bgColor theme="6"/>
      </patternFill>
    </fill>
    <fill>
      <patternFill patternType="solid">
        <fgColor rgb="FFCCCCFF"/>
        <bgColor theme="6"/>
      </patternFill>
    </fill>
    <fill>
      <patternFill patternType="solid">
        <fgColor theme="0" tint="-0.249977111117893"/>
        <bgColor theme="6"/>
      </patternFill>
    </fill>
    <fill>
      <patternFill patternType="solid">
        <fgColor theme="8"/>
        <bgColor indexed="64"/>
      </patternFill>
    </fill>
    <fill>
      <patternFill patternType="solid">
        <fgColor rgb="FFFF0000"/>
        <bgColor indexed="64"/>
      </patternFill>
    </fill>
    <fill>
      <patternFill patternType="solid">
        <fgColor rgb="FFC00000"/>
        <bgColor indexed="64"/>
      </patternFill>
    </fill>
    <fill>
      <patternFill patternType="solid">
        <fgColor rgb="FFFFCCCC"/>
        <bgColor indexed="64"/>
      </patternFill>
    </fill>
  </fills>
  <borders count="82">
    <border>
      <left/>
      <right/>
      <top/>
      <bottom/>
      <diagonal/>
    </border>
    <border>
      <left/>
      <right/>
      <top/>
      <bottom style="thick">
        <color theme="4"/>
      </bottom>
      <diagonal/>
    </border>
    <border>
      <left/>
      <right/>
      <top/>
      <bottom style="thick">
        <color theme="4" tint="0.499984740745262"/>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ck">
        <color theme="4" tint="0.499984740745262"/>
      </top>
      <bottom/>
      <diagonal/>
    </border>
    <border>
      <left/>
      <right/>
      <top style="thin">
        <color indexed="64"/>
      </top>
      <bottom style="thin">
        <color indexed="64"/>
      </bottom>
      <diagonal/>
    </border>
    <border>
      <left/>
      <right style="medium">
        <color indexed="64"/>
      </right>
      <top/>
      <bottom/>
      <diagonal/>
    </border>
    <border>
      <left/>
      <right/>
      <top/>
      <bottom style="medium">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diagonal/>
    </border>
    <border>
      <left style="thin">
        <color indexed="64"/>
      </left>
      <right style="thin">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theme="5"/>
      </left>
      <right style="medium">
        <color theme="5"/>
      </right>
      <top style="medium">
        <color indexed="64"/>
      </top>
      <bottom style="medium">
        <color indexed="64"/>
      </bottom>
      <diagonal/>
    </border>
    <border>
      <left style="medium">
        <color theme="5"/>
      </left>
      <right style="medium">
        <color theme="5"/>
      </right>
      <top style="medium">
        <color indexed="64"/>
      </top>
      <bottom style="thin">
        <color indexed="64"/>
      </bottom>
      <diagonal/>
    </border>
    <border>
      <left style="medium">
        <color theme="5"/>
      </left>
      <right style="medium">
        <color theme="5"/>
      </right>
      <top style="thin">
        <color indexed="64"/>
      </top>
      <bottom style="thin">
        <color indexed="64"/>
      </bottom>
      <diagonal/>
    </border>
    <border>
      <left style="medium">
        <color theme="5"/>
      </left>
      <right style="medium">
        <color theme="5"/>
      </right>
      <top style="thin">
        <color indexed="64"/>
      </top>
      <bottom style="medium">
        <color indexed="64"/>
      </bottom>
      <diagonal/>
    </border>
    <border>
      <left style="medium">
        <color indexed="64"/>
      </left>
      <right style="thin">
        <color indexed="64"/>
      </right>
      <top/>
      <bottom style="medium">
        <color indexed="64"/>
      </bottom>
      <diagonal/>
    </border>
    <border>
      <left style="medium">
        <color indexed="64"/>
      </left>
      <right/>
      <top/>
      <bottom/>
      <diagonal/>
    </border>
    <border>
      <left style="thin">
        <color indexed="64"/>
      </left>
      <right style="medium">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style="medium">
        <color theme="1"/>
      </left>
      <right style="thin">
        <color theme="1"/>
      </right>
      <top style="thin">
        <color theme="1"/>
      </top>
      <bottom style="thin">
        <color theme="1"/>
      </bottom>
      <diagonal/>
    </border>
    <border>
      <left style="thin">
        <color theme="1"/>
      </left>
      <right/>
      <top style="medium">
        <color theme="1"/>
      </top>
      <bottom/>
      <diagonal/>
    </border>
    <border>
      <left style="thin">
        <color indexed="64"/>
      </left>
      <right style="medium">
        <color indexed="64"/>
      </right>
      <top/>
      <bottom style="medium">
        <color indexed="64"/>
      </bottom>
      <diagonal/>
    </border>
    <border>
      <left style="thin">
        <color auto="1"/>
      </left>
      <right style="medium">
        <color indexed="64"/>
      </right>
      <top style="medium">
        <color indexed="64"/>
      </top>
      <bottom/>
      <diagonal/>
    </border>
    <border>
      <left style="medium">
        <color indexed="64"/>
      </left>
      <right/>
      <top style="medium">
        <color indexed="64"/>
      </top>
      <bottom style="medium">
        <color theme="1"/>
      </bottom>
      <diagonal/>
    </border>
    <border>
      <left style="thin">
        <color theme="1"/>
      </left>
      <right/>
      <top style="medium">
        <color indexed="64"/>
      </top>
      <bottom style="medium">
        <color theme="1"/>
      </bottom>
      <diagonal/>
    </border>
    <border>
      <left style="thin">
        <color indexed="64"/>
      </left>
      <right/>
      <top style="medium">
        <color indexed="64"/>
      </top>
      <bottom style="medium">
        <color theme="1"/>
      </bottom>
      <diagonal/>
    </border>
    <border>
      <left style="thin">
        <color indexed="64"/>
      </left>
      <right/>
      <top style="medium">
        <color theme="1"/>
      </top>
      <bottom/>
      <diagonal/>
    </border>
    <border>
      <left style="medium">
        <color indexed="64"/>
      </left>
      <right style="medium">
        <color indexed="64"/>
      </right>
      <top style="medium">
        <color indexed="64"/>
      </top>
      <bottom style="medium">
        <color theme="1"/>
      </bottom>
      <diagonal/>
    </border>
    <border>
      <left style="medium">
        <color indexed="64"/>
      </left>
      <right style="medium">
        <color indexed="64"/>
      </right>
      <top/>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theme="1"/>
      </left>
      <right style="thin">
        <color theme="1"/>
      </right>
      <top style="thin">
        <color theme="1"/>
      </top>
      <bottom/>
      <diagonal/>
    </border>
    <border>
      <left style="thin">
        <color theme="1"/>
      </left>
      <right style="medium">
        <color indexed="64"/>
      </right>
      <top style="thin">
        <color theme="1"/>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medium">
        <color auto="1"/>
      </top>
      <bottom style="medium">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thin">
        <color theme="1"/>
      </left>
      <right/>
      <top style="medium">
        <color indexed="64"/>
      </top>
      <bottom style="medium">
        <color indexed="64"/>
      </bottom>
      <diagonal/>
    </border>
  </borders>
  <cellStyleXfs count="6">
    <xf numFmtId="0" fontId="0" fillId="0" borderId="0"/>
    <xf numFmtId="44"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5" fillId="0" borderId="0" applyNumberFormat="0" applyFill="0" applyBorder="0" applyAlignment="0" applyProtection="0"/>
    <xf numFmtId="43" fontId="1" fillId="0" borderId="0" applyFont="0" applyFill="0" applyBorder="0" applyAlignment="0" applyProtection="0"/>
  </cellStyleXfs>
  <cellXfs count="277">
    <xf numFmtId="0" fontId="0" fillId="0" borderId="0" xfId="0"/>
    <xf numFmtId="0" fontId="4" fillId="0" borderId="0" xfId="0" applyFont="1"/>
    <xf numFmtId="0" fontId="0" fillId="0" borderId="0" xfId="0" applyAlignment="1">
      <alignment vertical="center"/>
    </xf>
    <xf numFmtId="0" fontId="0" fillId="0" borderId="0" xfId="0" applyAlignment="1">
      <alignment horizontal="left" vertical="center" indent="15"/>
    </xf>
    <xf numFmtId="0" fontId="2" fillId="0" borderId="1" xfId="2"/>
    <xf numFmtId="0" fontId="4" fillId="0" borderId="0" xfId="0" applyFont="1" applyAlignment="1">
      <alignment vertical="center"/>
    </xf>
    <xf numFmtId="0" fontId="0" fillId="0" borderId="8" xfId="0" applyBorder="1"/>
    <xf numFmtId="0" fontId="0" fillId="0" borderId="10" xfId="0" applyBorder="1"/>
    <xf numFmtId="0" fontId="0" fillId="0" borderId="11" xfId="0" applyBorder="1"/>
    <xf numFmtId="0" fontId="0" fillId="0" borderId="0" xfId="0" applyAlignment="1">
      <alignment horizontal="left" wrapText="1"/>
    </xf>
    <xf numFmtId="0" fontId="6" fillId="0" borderId="0" xfId="0" applyFont="1" applyAlignment="1">
      <alignment horizontal="center" vertical="center"/>
    </xf>
    <xf numFmtId="0" fontId="0" fillId="0" borderId="0" xfId="0" applyAlignment="1">
      <alignment horizontal="center" vertical="center"/>
    </xf>
    <xf numFmtId="0" fontId="7" fillId="0" borderId="19" xfId="0" applyFont="1" applyBorder="1" applyAlignment="1">
      <alignment horizontal="center" vertical="center" wrapText="1"/>
    </xf>
    <xf numFmtId="0" fontId="6" fillId="0" borderId="5" xfId="0" applyFont="1" applyBorder="1" applyAlignment="1">
      <alignment horizontal="center" vertic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5" xfId="0" applyBorder="1" applyAlignment="1">
      <alignment horizontal="center" vertical="center"/>
    </xf>
    <xf numFmtId="0" fontId="6" fillId="0" borderId="18" xfId="4" applyFont="1" applyBorder="1" applyAlignment="1">
      <alignment horizontal="center" vertical="center" wrapText="1"/>
    </xf>
    <xf numFmtId="0" fontId="0" fillId="0" borderId="10" xfId="0" applyBorder="1" applyAlignment="1">
      <alignment horizontal="center"/>
    </xf>
    <xf numFmtId="0" fontId="0" fillId="0" borderId="13" xfId="0" applyBorder="1" applyAlignment="1">
      <alignment horizontal="center"/>
    </xf>
    <xf numFmtId="0" fontId="4" fillId="4" borderId="18" xfId="0" applyFont="1" applyFill="1" applyBorder="1" applyAlignment="1">
      <alignment horizontal="center" vertical="center" wrapText="1"/>
    </xf>
    <xf numFmtId="0" fontId="4" fillId="4" borderId="19"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0" fillId="0" borderId="8" xfId="0" applyBorder="1" applyAlignment="1" applyProtection="1">
      <alignment horizontal="center" vertical="center" wrapText="1"/>
      <protection locked="0"/>
    </xf>
    <xf numFmtId="0" fontId="0" fillId="0" borderId="0" xfId="0" applyAlignment="1">
      <alignment horizontal="right"/>
    </xf>
    <xf numFmtId="0" fontId="8" fillId="0" borderId="0" xfId="0" applyFont="1" applyAlignment="1">
      <alignment horizontal="left" wrapText="1"/>
    </xf>
    <xf numFmtId="0" fontId="4" fillId="4" borderId="25" xfId="0" applyFont="1" applyFill="1" applyBorder="1" applyAlignment="1">
      <alignment horizontal="center" vertical="center" wrapText="1"/>
    </xf>
    <xf numFmtId="164" fontId="0" fillId="0" borderId="0" xfId="1" applyNumberFormat="1" applyFont="1"/>
    <xf numFmtId="0" fontId="12" fillId="0" borderId="2" xfId="3" applyFont="1"/>
    <xf numFmtId="0" fontId="10" fillId="0" borderId="29" xfId="3" applyFont="1" applyBorder="1"/>
    <xf numFmtId="0" fontId="11" fillId="4" borderId="18" xfId="4" applyFont="1" applyFill="1" applyBorder="1" applyAlignment="1" applyProtection="1">
      <alignment horizontal="center" vertical="center" wrapText="1"/>
    </xf>
    <xf numFmtId="0" fontId="6" fillId="0" borderId="0" xfId="4" applyFont="1" applyAlignment="1">
      <alignment vertical="center"/>
    </xf>
    <xf numFmtId="0" fontId="0" fillId="0" borderId="9" xfId="0" applyBorder="1" applyProtection="1">
      <protection locked="0"/>
    </xf>
    <xf numFmtId="0" fontId="0" fillId="0" borderId="7" xfId="0" applyBorder="1" applyProtection="1">
      <protection locked="0"/>
    </xf>
    <xf numFmtId="0" fontId="0" fillId="0" borderId="12" xfId="0" applyBorder="1" applyProtection="1">
      <protection locked="0"/>
    </xf>
    <xf numFmtId="0" fontId="0" fillId="0" borderId="14" xfId="0" applyBorder="1" applyProtection="1">
      <protection locked="0"/>
    </xf>
    <xf numFmtId="0" fontId="0" fillId="0" borderId="30" xfId="0" applyBorder="1" applyProtection="1">
      <protection locked="0"/>
    </xf>
    <xf numFmtId="0" fontId="6" fillId="0" borderId="0" xfId="0" applyFont="1" applyAlignment="1">
      <alignment horizontal="left" wrapText="1"/>
    </xf>
    <xf numFmtId="0" fontId="4" fillId="4" borderId="33"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7" fillId="4" borderId="25" xfId="0" applyFont="1" applyFill="1" applyBorder="1" applyAlignment="1">
      <alignment horizontal="center" vertical="center" wrapText="1"/>
    </xf>
    <xf numFmtId="0" fontId="7" fillId="0" borderId="25" xfId="0" applyFont="1" applyBorder="1" applyAlignment="1">
      <alignment horizontal="center" vertical="center" wrapText="1"/>
    </xf>
    <xf numFmtId="164" fontId="4" fillId="4" borderId="25" xfId="0" applyNumberFormat="1" applyFont="1" applyFill="1" applyBorder="1" applyAlignment="1">
      <alignment horizontal="center" vertical="center" wrapText="1"/>
    </xf>
    <xf numFmtId="0" fontId="0" fillId="3" borderId="15" xfId="0" applyFill="1" applyBorder="1" applyAlignment="1">
      <alignment horizontal="center" vertical="center" wrapText="1"/>
    </xf>
    <xf numFmtId="0" fontId="0" fillId="0" borderId="0" xfId="0" applyAlignment="1">
      <alignment textRotation="90"/>
    </xf>
    <xf numFmtId="0" fontId="0" fillId="0" borderId="0" xfId="0" applyAlignment="1">
      <alignment horizontal="center"/>
    </xf>
    <xf numFmtId="0" fontId="0" fillId="0" borderId="0" xfId="1" applyNumberFormat="1" applyFont="1" applyFill="1"/>
    <xf numFmtId="0" fontId="6" fillId="0" borderId="0" xfId="0" applyFont="1"/>
    <xf numFmtId="0" fontId="0" fillId="0" borderId="10" xfId="0" applyBorder="1" applyAlignment="1" applyProtection="1">
      <alignment horizontal="center" vertical="center" wrapText="1"/>
      <protection locked="0"/>
    </xf>
    <xf numFmtId="0" fontId="0" fillId="8" borderId="0" xfId="0" applyFill="1" applyAlignment="1">
      <alignment horizontal="center" vertical="center" wrapText="1"/>
    </xf>
    <xf numFmtId="0" fontId="0" fillId="8" borderId="31" xfId="0" applyFill="1" applyBorder="1" applyAlignment="1">
      <alignment horizontal="center" vertical="center" wrapText="1"/>
    </xf>
    <xf numFmtId="0" fontId="0" fillId="0" borderId="0" xfId="0" applyAlignment="1">
      <alignment horizontal="center" vertical="center" wrapText="1"/>
    </xf>
    <xf numFmtId="0" fontId="4" fillId="0" borderId="0" xfId="0" applyFont="1" applyAlignment="1">
      <alignment horizontal="center" vertical="center" wrapText="1"/>
    </xf>
    <xf numFmtId="0" fontId="7" fillId="0" borderId="39" xfId="0" applyFont="1" applyBorder="1" applyAlignment="1">
      <alignment horizontal="center" vertical="center" wrapText="1"/>
    </xf>
    <xf numFmtId="0" fontId="0" fillId="0" borderId="21" xfId="0" applyBorder="1" applyAlignment="1">
      <alignment horizontal="center" vertical="center"/>
    </xf>
    <xf numFmtId="165" fontId="0" fillId="0" borderId="0" xfId="5" applyNumberFormat="1" applyFont="1"/>
    <xf numFmtId="0" fontId="7" fillId="4" borderId="3" xfId="0" applyFont="1" applyFill="1" applyBorder="1" applyAlignment="1">
      <alignment horizontal="center" vertical="center" wrapText="1"/>
    </xf>
    <xf numFmtId="0" fontId="7" fillId="0" borderId="3" xfId="0" applyFont="1" applyBorder="1" applyAlignment="1">
      <alignment horizontal="center" vertical="center" wrapText="1"/>
    </xf>
    <xf numFmtId="0" fontId="4" fillId="4" borderId="3" xfId="0" applyFont="1" applyFill="1" applyBorder="1" applyAlignment="1">
      <alignment horizontal="center" vertical="center" wrapText="1"/>
    </xf>
    <xf numFmtId="0" fontId="7" fillId="0" borderId="44" xfId="0" applyFont="1" applyBorder="1" applyAlignment="1">
      <alignment horizontal="center" vertical="center" wrapText="1"/>
    </xf>
    <xf numFmtId="0" fontId="7" fillId="9" borderId="44" xfId="0" applyFont="1" applyFill="1" applyBorder="1" applyAlignment="1">
      <alignment horizontal="center" vertical="center" wrapText="1"/>
    </xf>
    <xf numFmtId="164" fontId="4" fillId="4" borderId="44" xfId="0" applyNumberFormat="1" applyFont="1" applyFill="1" applyBorder="1" applyAlignment="1">
      <alignment horizontal="center" vertical="center" wrapText="1"/>
    </xf>
    <xf numFmtId="0" fontId="0" fillId="0" borderId="16" xfId="0" applyBorder="1" applyAlignment="1" applyProtection="1">
      <alignment horizontal="center" vertical="center" wrapText="1"/>
      <protection locked="0"/>
    </xf>
    <xf numFmtId="164" fontId="1" fillId="0" borderId="26" xfId="1" applyNumberFormat="1" applyFont="1" applyBorder="1" applyAlignment="1" applyProtection="1">
      <alignment horizontal="center" vertical="center" wrapText="1"/>
      <protection locked="0"/>
    </xf>
    <xf numFmtId="164" fontId="1" fillId="0" borderId="45" xfId="1" applyNumberFormat="1" applyFont="1" applyBorder="1" applyAlignment="1" applyProtection="1">
      <alignment horizontal="center" vertical="center" wrapText="1"/>
    </xf>
    <xf numFmtId="0" fontId="0" fillId="0" borderId="41"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164" fontId="1" fillId="0" borderId="27" xfId="1" applyNumberFormat="1" applyFont="1" applyBorder="1" applyAlignment="1" applyProtection="1">
      <alignment horizontal="center" vertical="center" wrapText="1"/>
      <protection locked="0"/>
    </xf>
    <xf numFmtId="164" fontId="1" fillId="0" borderId="46" xfId="1" applyNumberFormat="1" applyFont="1" applyBorder="1" applyAlignment="1" applyProtection="1">
      <alignment horizontal="center" vertical="center" wrapText="1"/>
    </xf>
    <xf numFmtId="0" fontId="0" fillId="0" borderId="42"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164" fontId="1" fillId="0" borderId="28" xfId="1" applyNumberFormat="1" applyFont="1" applyBorder="1" applyAlignment="1" applyProtection="1">
      <alignment horizontal="center" vertical="center" wrapText="1"/>
      <protection locked="0"/>
    </xf>
    <xf numFmtId="164" fontId="1" fillId="0" borderId="47" xfId="1" applyNumberFormat="1" applyFont="1" applyBorder="1" applyAlignment="1" applyProtection="1">
      <alignment horizontal="center" vertical="center" wrapText="1"/>
    </xf>
    <xf numFmtId="0" fontId="0" fillId="0" borderId="43" xfId="0" applyBorder="1" applyAlignment="1" applyProtection="1">
      <alignment horizontal="center" vertical="center" wrapText="1"/>
      <protection locked="0"/>
    </xf>
    <xf numFmtId="0" fontId="7" fillId="0" borderId="32" xfId="0" applyFont="1" applyBorder="1" applyAlignment="1">
      <alignment horizontal="center" vertical="center" wrapText="1"/>
    </xf>
    <xf numFmtId="165" fontId="0" fillId="0" borderId="9" xfId="5" applyNumberFormat="1" applyFont="1" applyBorder="1" applyAlignment="1" applyProtection="1">
      <alignment vertical="center"/>
      <protection locked="0"/>
    </xf>
    <xf numFmtId="165" fontId="0" fillId="0" borderId="7" xfId="5" applyNumberFormat="1" applyFont="1" applyBorder="1" applyAlignment="1" applyProtection="1">
      <alignment vertical="center"/>
      <protection locked="0"/>
    </xf>
    <xf numFmtId="165" fontId="0" fillId="0" borderId="12" xfId="5" applyNumberFormat="1" applyFont="1" applyBorder="1" applyAlignment="1" applyProtection="1">
      <alignment vertical="center"/>
      <protection locked="0"/>
    </xf>
    <xf numFmtId="0" fontId="0" fillId="12" borderId="0" xfId="0" applyFill="1"/>
    <xf numFmtId="0" fontId="14" fillId="12" borderId="0" xfId="0" applyFont="1" applyFill="1" applyAlignment="1">
      <alignment horizontal="center" vertical="center"/>
    </xf>
    <xf numFmtId="43" fontId="0" fillId="0" borderId="8" xfId="5" applyFont="1" applyBorder="1" applyAlignment="1" applyProtection="1">
      <alignment vertical="center"/>
      <protection locked="0"/>
    </xf>
    <xf numFmtId="165" fontId="0" fillId="0" borderId="16" xfId="5" applyNumberFormat="1" applyFont="1" applyBorder="1" applyAlignment="1" applyProtection="1">
      <alignment vertical="center"/>
      <protection locked="0"/>
    </xf>
    <xf numFmtId="43" fontId="0" fillId="0" borderId="10" xfId="5" applyFont="1" applyBorder="1" applyAlignment="1" applyProtection="1">
      <alignment vertical="center"/>
      <protection locked="0"/>
    </xf>
    <xf numFmtId="165" fontId="0" fillId="0" borderId="6" xfId="5" applyNumberFormat="1" applyFont="1" applyBorder="1" applyAlignment="1" applyProtection="1">
      <alignment vertical="center"/>
      <protection locked="0"/>
    </xf>
    <xf numFmtId="43" fontId="0" fillId="0" borderId="51" xfId="5" applyFont="1" applyBorder="1" applyAlignment="1" applyProtection="1">
      <alignment vertical="center"/>
      <protection locked="0"/>
    </xf>
    <xf numFmtId="165" fontId="0" fillId="0" borderId="51" xfId="5" applyNumberFormat="1" applyFont="1" applyBorder="1" applyAlignment="1" applyProtection="1">
      <alignment vertical="center"/>
      <protection locked="0"/>
    </xf>
    <xf numFmtId="165" fontId="0" fillId="0" borderId="50" xfId="5" applyNumberFormat="1" applyFont="1" applyBorder="1" applyAlignment="1" applyProtection="1">
      <alignment vertical="center"/>
      <protection locked="0"/>
    </xf>
    <xf numFmtId="43" fontId="0" fillId="0" borderId="6" xfId="5" applyFont="1" applyBorder="1" applyAlignment="1" applyProtection="1">
      <alignment vertical="center"/>
      <protection locked="0"/>
    </xf>
    <xf numFmtId="43" fontId="0" fillId="0" borderId="17" xfId="5" applyFont="1" applyBorder="1" applyAlignment="1" applyProtection="1">
      <alignment vertical="center"/>
      <protection locked="0"/>
    </xf>
    <xf numFmtId="165" fontId="0" fillId="0" borderId="17" xfId="5" applyNumberFormat="1" applyFont="1" applyBorder="1" applyAlignment="1" applyProtection="1">
      <alignment vertical="center"/>
      <protection locked="0"/>
    </xf>
    <xf numFmtId="0" fontId="6" fillId="0" borderId="0" xfId="0" applyFont="1" applyAlignment="1">
      <alignment horizontal="left" vertical="top"/>
    </xf>
    <xf numFmtId="0" fontId="0" fillId="6" borderId="35" xfId="0" applyFill="1" applyBorder="1" applyAlignment="1">
      <alignment horizontal="center" vertical="center" wrapText="1"/>
    </xf>
    <xf numFmtId="0" fontId="7" fillId="18" borderId="57" xfId="0" applyFont="1" applyFill="1" applyBorder="1" applyAlignment="1">
      <alignment horizontal="center" vertical="center" wrapText="1"/>
    </xf>
    <xf numFmtId="0" fontId="7" fillId="17" borderId="58" xfId="0" applyFont="1" applyFill="1" applyBorder="1" applyAlignment="1">
      <alignment horizontal="center" vertical="center" wrapText="1"/>
    </xf>
    <xf numFmtId="164" fontId="0" fillId="0" borderId="51" xfId="1" applyNumberFormat="1" applyFont="1" applyBorder="1" applyAlignment="1">
      <alignment vertical="center"/>
    </xf>
    <xf numFmtId="164" fontId="0" fillId="0" borderId="50" xfId="1" applyNumberFormat="1" applyFont="1" applyBorder="1" applyAlignment="1">
      <alignment vertical="center"/>
    </xf>
    <xf numFmtId="164" fontId="0" fillId="0" borderId="52" xfId="1" applyNumberFormat="1" applyFont="1" applyFill="1" applyBorder="1" applyAlignment="1">
      <alignment horizontal="right" vertical="center"/>
    </xf>
    <xf numFmtId="164" fontId="0" fillId="0" borderId="6" xfId="1" applyNumberFormat="1" applyFont="1" applyBorder="1" applyAlignment="1">
      <alignment vertical="center"/>
    </xf>
    <xf numFmtId="164" fontId="0" fillId="0" borderId="7" xfId="1" applyNumberFormat="1" applyFont="1" applyBorder="1" applyAlignment="1">
      <alignment vertical="center"/>
    </xf>
    <xf numFmtId="164" fontId="0" fillId="0" borderId="10" xfId="1" applyNumberFormat="1" applyFont="1" applyFill="1" applyBorder="1" applyAlignment="1">
      <alignment horizontal="right" vertical="center"/>
    </xf>
    <xf numFmtId="164" fontId="0" fillId="0" borderId="17" xfId="1" applyNumberFormat="1" applyFont="1" applyBorder="1" applyAlignment="1">
      <alignment vertical="center"/>
    </xf>
    <xf numFmtId="164" fontId="0" fillId="0" borderId="12" xfId="1" applyNumberFormat="1" applyFont="1" applyBorder="1" applyAlignment="1">
      <alignment vertical="center"/>
    </xf>
    <xf numFmtId="164" fontId="0" fillId="0" borderId="11" xfId="1" applyNumberFormat="1" applyFont="1" applyFill="1" applyBorder="1" applyAlignment="1">
      <alignment horizontal="right" vertical="center"/>
    </xf>
    <xf numFmtId="165" fontId="0" fillId="12" borderId="0" xfId="5" applyNumberFormat="1" applyFont="1" applyFill="1" applyBorder="1" applyProtection="1"/>
    <xf numFmtId="0" fontId="19" fillId="0" borderId="0" xfId="0" applyFont="1" applyAlignment="1">
      <alignment vertical="center"/>
    </xf>
    <xf numFmtId="0" fontId="22" fillId="0" borderId="0" xfId="0" applyFont="1" applyAlignment="1">
      <alignment horizontal="left" vertical="center" indent="5"/>
    </xf>
    <xf numFmtId="0" fontId="20" fillId="0" borderId="0" xfId="0" applyFont="1" applyAlignment="1">
      <alignment horizontal="left" vertical="center" indent="2"/>
    </xf>
    <xf numFmtId="0" fontId="19" fillId="0" borderId="0" xfId="0" applyFont="1" applyAlignment="1">
      <alignment horizontal="left" vertical="center" indent="5"/>
    </xf>
    <xf numFmtId="0" fontId="24" fillId="0" borderId="0" xfId="0" applyFont="1" applyAlignment="1">
      <alignment vertical="center"/>
    </xf>
    <xf numFmtId="0" fontId="26" fillId="12" borderId="0" xfId="0" applyFont="1" applyFill="1"/>
    <xf numFmtId="0" fontId="26" fillId="12" borderId="0" xfId="0" applyFont="1" applyFill="1" applyAlignment="1">
      <alignment vertical="center" wrapText="1"/>
    </xf>
    <xf numFmtId="0" fontId="4" fillId="10" borderId="18" xfId="0" applyFont="1" applyFill="1" applyBorder="1" applyAlignment="1">
      <alignment horizontal="center" vertical="center" wrapText="1"/>
    </xf>
    <xf numFmtId="164" fontId="4" fillId="10" borderId="15" xfId="0" applyNumberFormat="1" applyFont="1" applyFill="1" applyBorder="1" applyAlignment="1">
      <alignment vertical="center" wrapText="1"/>
    </xf>
    <xf numFmtId="164" fontId="0" fillId="0" borderId="9" xfId="1" applyNumberFormat="1" applyFont="1" applyBorder="1" applyAlignment="1" applyProtection="1">
      <alignment vertical="center" wrapText="1"/>
      <protection locked="0"/>
    </xf>
    <xf numFmtId="164" fontId="0" fillId="0" borderId="7" xfId="1" applyNumberFormat="1" applyFont="1" applyBorder="1" applyAlignment="1" applyProtection="1">
      <alignment vertical="center" wrapText="1"/>
      <protection locked="0"/>
    </xf>
    <xf numFmtId="164" fontId="0" fillId="0" borderId="7" xfId="1" applyNumberFormat="1" applyFont="1" applyBorder="1" applyProtection="1">
      <protection locked="0"/>
    </xf>
    <xf numFmtId="164" fontId="0" fillId="0" borderId="12" xfId="1" applyNumberFormat="1" applyFont="1" applyBorder="1" applyProtection="1">
      <protection locked="0"/>
    </xf>
    <xf numFmtId="0" fontId="7" fillId="17" borderId="59" xfId="0" applyFont="1" applyFill="1" applyBorder="1" applyAlignment="1">
      <alignment horizontal="center" vertical="center" wrapText="1"/>
    </xf>
    <xf numFmtId="0" fontId="7" fillId="16" borderId="61" xfId="0" applyFont="1" applyFill="1" applyBorder="1" applyAlignment="1">
      <alignment horizontal="center" vertical="center" wrapText="1"/>
    </xf>
    <xf numFmtId="43" fontId="26" fillId="0" borderId="10" xfId="5" applyFont="1" applyBorder="1" applyAlignment="1" applyProtection="1">
      <alignment vertical="center"/>
      <protection locked="0"/>
    </xf>
    <xf numFmtId="165" fontId="26" fillId="0" borderId="6" xfId="5" applyNumberFormat="1" applyFont="1" applyBorder="1" applyAlignment="1" applyProtection="1">
      <alignment vertical="center"/>
      <protection locked="0"/>
    </xf>
    <xf numFmtId="43" fontId="0" fillId="0" borderId="11" xfId="5" applyFont="1" applyBorder="1" applyAlignment="1" applyProtection="1">
      <alignment vertical="center"/>
      <protection locked="0"/>
    </xf>
    <xf numFmtId="0" fontId="0" fillId="12" borderId="38" xfId="0" applyFill="1" applyBorder="1"/>
    <xf numFmtId="0" fontId="0" fillId="12" borderId="38" xfId="0" applyFill="1" applyBorder="1" applyAlignment="1">
      <alignment vertical="center" wrapText="1"/>
    </xf>
    <xf numFmtId="0" fontId="0" fillId="12" borderId="4" xfId="0" applyFill="1" applyBorder="1" applyAlignment="1">
      <alignment vertical="center" wrapText="1"/>
    </xf>
    <xf numFmtId="164" fontId="0" fillId="4" borderId="25" xfId="0" applyNumberFormat="1" applyFill="1" applyBorder="1" applyAlignment="1">
      <alignment vertical="center" wrapText="1"/>
    </xf>
    <xf numFmtId="43" fontId="0" fillId="4" borderId="18" xfId="0" applyNumberFormat="1" applyFill="1" applyBorder="1" applyAlignment="1">
      <alignment vertical="center" wrapText="1"/>
    </xf>
    <xf numFmtId="43" fontId="0" fillId="4" borderId="19" xfId="0" applyNumberFormat="1" applyFill="1" applyBorder="1" applyAlignment="1">
      <alignment vertical="center" wrapText="1"/>
    </xf>
    <xf numFmtId="0" fontId="0" fillId="5" borderId="17" xfId="0" applyFill="1" applyBorder="1"/>
    <xf numFmtId="0" fontId="0" fillId="5" borderId="11" xfId="0" applyFill="1" applyBorder="1" applyAlignment="1">
      <alignment horizontal="center" vertical="center"/>
    </xf>
    <xf numFmtId="0" fontId="0" fillId="5" borderId="16" xfId="0" applyFill="1" applyBorder="1"/>
    <xf numFmtId="0" fontId="0" fillId="5" borderId="9" xfId="0" applyFill="1" applyBorder="1"/>
    <xf numFmtId="0" fontId="0" fillId="5" borderId="12" xfId="0" applyFill="1" applyBorder="1"/>
    <xf numFmtId="167" fontId="0" fillId="5" borderId="28" xfId="0" applyNumberFormat="1" applyFill="1" applyBorder="1"/>
    <xf numFmtId="0" fontId="0" fillId="5" borderId="17" xfId="0" applyFill="1" applyBorder="1" applyAlignment="1">
      <alignment horizontal="center"/>
    </xf>
    <xf numFmtId="0" fontId="0" fillId="5" borderId="52" xfId="0" applyFill="1" applyBorder="1" applyAlignment="1">
      <alignment horizontal="center" vertical="center"/>
    </xf>
    <xf numFmtId="0" fontId="0" fillId="5" borderId="51" xfId="0" applyFill="1" applyBorder="1" applyAlignment="1">
      <alignment horizontal="center"/>
    </xf>
    <xf numFmtId="0" fontId="0" fillId="5" borderId="51" xfId="0" applyFill="1" applyBorder="1"/>
    <xf numFmtId="167" fontId="0" fillId="5" borderId="65" xfId="0" applyNumberFormat="1" applyFill="1" applyBorder="1"/>
    <xf numFmtId="0" fontId="0" fillId="6" borderId="0" xfId="0" applyFill="1" applyAlignment="1">
      <alignment horizontal="center" vertical="center" wrapText="1"/>
    </xf>
    <xf numFmtId="164" fontId="0" fillId="0" borderId="66" xfId="1" applyNumberFormat="1" applyFont="1" applyFill="1" applyBorder="1" applyAlignment="1">
      <alignment horizontal="right" vertical="center"/>
    </xf>
    <xf numFmtId="164" fontId="0" fillId="0" borderId="67" xfId="1" applyNumberFormat="1" applyFont="1" applyFill="1" applyBorder="1" applyAlignment="1">
      <alignment horizontal="right" vertical="center"/>
    </xf>
    <xf numFmtId="164" fontId="0" fillId="0" borderId="68" xfId="1" applyNumberFormat="1" applyFont="1" applyFill="1" applyBorder="1" applyAlignment="1">
      <alignment horizontal="right" vertical="center"/>
    </xf>
    <xf numFmtId="0" fontId="4" fillId="4" borderId="0" xfId="0" applyFont="1" applyFill="1" applyAlignment="1">
      <alignment horizontal="center" vertical="center" wrapText="1"/>
    </xf>
    <xf numFmtId="164" fontId="0" fillId="0" borderId="63" xfId="1" applyNumberFormat="1" applyFont="1" applyBorder="1" applyAlignment="1" applyProtection="1">
      <alignment vertical="center" wrapText="1"/>
    </xf>
    <xf numFmtId="164" fontId="0" fillId="0" borderId="30" xfId="1" applyNumberFormat="1" applyFont="1" applyBorder="1" applyAlignment="1" applyProtection="1">
      <alignment vertical="center" wrapText="1"/>
    </xf>
    <xf numFmtId="164" fontId="0" fillId="0" borderId="30" xfId="1" applyNumberFormat="1" applyFont="1" applyBorder="1" applyProtection="1"/>
    <xf numFmtId="164" fontId="0" fillId="0" borderId="64" xfId="1" applyNumberFormat="1" applyFont="1" applyBorder="1" applyProtection="1"/>
    <xf numFmtId="0" fontId="4" fillId="4" borderId="21" xfId="0" applyFont="1" applyFill="1" applyBorder="1" applyAlignment="1">
      <alignment horizontal="center" vertical="center" wrapText="1"/>
    </xf>
    <xf numFmtId="0" fontId="0" fillId="0" borderId="6" xfId="0"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6" fillId="0" borderId="16" xfId="0" applyFont="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26" fillId="0" borderId="6" xfId="0" applyFont="1" applyBorder="1" applyAlignment="1" applyProtection="1">
      <alignment horizontal="left" vertical="center" wrapText="1"/>
      <protection locked="0"/>
    </xf>
    <xf numFmtId="0" fontId="0" fillId="0" borderId="6" xfId="0" applyBorder="1" applyAlignment="1" applyProtection="1">
      <alignment horizontal="left"/>
      <protection locked="0"/>
    </xf>
    <xf numFmtId="0" fontId="0" fillId="0" borderId="17" xfId="0" applyBorder="1" applyAlignment="1" applyProtection="1">
      <alignment horizontal="left"/>
      <protection locked="0"/>
    </xf>
    <xf numFmtId="43" fontId="0" fillId="5" borderId="8" xfId="5" applyFont="1" applyFill="1" applyBorder="1" applyAlignment="1"/>
    <xf numFmtId="43" fontId="0" fillId="5" borderId="11" xfId="5" applyFont="1" applyFill="1" applyBorder="1" applyAlignment="1"/>
    <xf numFmtId="0" fontId="2" fillId="0" borderId="1" xfId="2" applyAlignment="1">
      <alignment vertical="center"/>
    </xf>
    <xf numFmtId="0" fontId="3" fillId="0" borderId="2" xfId="3" applyAlignment="1">
      <alignment vertical="center"/>
    </xf>
    <xf numFmtId="0" fontId="2" fillId="0" borderId="0" xfId="2" applyBorder="1" applyAlignment="1">
      <alignment vertical="center"/>
    </xf>
    <xf numFmtId="0" fontId="3" fillId="0" borderId="0" xfId="3" applyBorder="1" applyAlignment="1">
      <alignment vertical="center"/>
    </xf>
    <xf numFmtId="0" fontId="0" fillId="0" borderId="66" xfId="0" applyBorder="1" applyAlignment="1">
      <alignment horizontal="center" vertical="center"/>
    </xf>
    <xf numFmtId="0" fontId="0" fillId="0" borderId="67" xfId="0" applyBorder="1" applyAlignment="1">
      <alignment horizontal="center" vertical="center"/>
    </xf>
    <xf numFmtId="0" fontId="0" fillId="0" borderId="68" xfId="0" applyBorder="1" applyAlignment="1">
      <alignment horizontal="center" vertical="center"/>
    </xf>
    <xf numFmtId="0" fontId="14" fillId="12" borderId="31" xfId="0" applyFont="1" applyFill="1" applyBorder="1"/>
    <xf numFmtId="0" fontId="14" fillId="12" borderId="31" xfId="0" applyFont="1" applyFill="1" applyBorder="1" applyAlignment="1">
      <alignment horizontal="center" vertical="center"/>
    </xf>
    <xf numFmtId="0" fontId="0" fillId="7" borderId="20" xfId="0" applyFill="1" applyBorder="1" applyAlignment="1">
      <alignment horizontal="center" vertical="center"/>
    </xf>
    <xf numFmtId="0" fontId="0" fillId="7" borderId="21" xfId="0" applyFill="1" applyBorder="1" applyAlignment="1">
      <alignment horizontal="center" vertical="center"/>
    </xf>
    <xf numFmtId="0" fontId="0" fillId="7" borderId="21" xfId="0" applyFill="1" applyBorder="1" applyAlignment="1">
      <alignment horizontal="center" vertical="center" wrapText="1"/>
    </xf>
    <xf numFmtId="0" fontId="0" fillId="7" borderId="56" xfId="0" applyFill="1" applyBorder="1" applyAlignment="1">
      <alignment horizontal="center" vertical="center" wrapText="1"/>
    </xf>
    <xf numFmtId="0" fontId="7" fillId="0" borderId="0" xfId="3" applyFont="1" applyBorder="1" applyAlignment="1">
      <alignment horizontal="left" vertical="center" wrapText="1"/>
    </xf>
    <xf numFmtId="0" fontId="21" fillId="0" borderId="0" xfId="0" applyFont="1" applyAlignment="1">
      <alignment vertical="center" wrapText="1"/>
    </xf>
    <xf numFmtId="0" fontId="21" fillId="0" borderId="0" xfId="0" applyFont="1" applyAlignment="1">
      <alignment vertical="center"/>
    </xf>
    <xf numFmtId="165" fontId="0" fillId="0" borderId="63" xfId="5" applyNumberFormat="1" applyFont="1" applyBorder="1" applyAlignment="1" applyProtection="1">
      <alignment horizontal="center" vertical="center"/>
    </xf>
    <xf numFmtId="165" fontId="0" fillId="0" borderId="30" xfId="5" applyNumberFormat="1" applyFont="1" applyBorder="1" applyAlignment="1" applyProtection="1">
      <alignment horizontal="center" vertical="center"/>
    </xf>
    <xf numFmtId="165" fontId="26" fillId="0" borderId="30" xfId="5" applyNumberFormat="1" applyFont="1" applyBorder="1" applyAlignment="1" applyProtection="1">
      <alignment horizontal="center" vertical="center"/>
    </xf>
    <xf numFmtId="165" fontId="0" fillId="0" borderId="64" xfId="5" applyNumberFormat="1" applyFont="1" applyBorder="1" applyAlignment="1" applyProtection="1">
      <alignment horizontal="center" vertical="center"/>
    </xf>
    <xf numFmtId="0" fontId="0" fillId="4" borderId="21" xfId="0" applyFill="1" applyBorder="1" applyAlignment="1">
      <alignment vertical="center" wrapText="1"/>
    </xf>
    <xf numFmtId="165" fontId="0" fillId="0" borderId="6" xfId="5" applyNumberFormat="1" applyFont="1" applyBorder="1" applyAlignment="1" applyProtection="1">
      <alignment vertical="center"/>
    </xf>
    <xf numFmtId="165" fontId="0" fillId="0" borderId="17" xfId="5" applyNumberFormat="1" applyFont="1" applyBorder="1" applyAlignment="1" applyProtection="1">
      <alignment vertical="center"/>
    </xf>
    <xf numFmtId="0" fontId="0" fillId="0" borderId="9" xfId="0" applyBorder="1" applyAlignment="1">
      <alignment horizontal="center" vertical="center"/>
    </xf>
    <xf numFmtId="0" fontId="0" fillId="0" borderId="7" xfId="0" applyBorder="1" applyAlignment="1">
      <alignment horizontal="center" vertical="center"/>
    </xf>
    <xf numFmtId="0" fontId="26" fillId="0" borderId="7" xfId="5" applyNumberFormat="1" applyFont="1" applyBorder="1" applyAlignment="1" applyProtection="1">
      <alignment horizontal="center" vertical="center"/>
    </xf>
    <xf numFmtId="0" fontId="0" fillId="0" borderId="12" xfId="0" applyBorder="1" applyAlignment="1">
      <alignment horizontal="center" vertical="center"/>
    </xf>
    <xf numFmtId="0" fontId="4" fillId="22" borderId="53" xfId="0" applyFont="1" applyFill="1" applyBorder="1" applyAlignment="1">
      <alignment horizontal="center" vertical="center" wrapText="1"/>
    </xf>
    <xf numFmtId="0" fontId="4" fillId="22" borderId="70" xfId="0" applyFont="1" applyFill="1" applyBorder="1" applyAlignment="1">
      <alignment horizontal="center" vertical="center" wrapText="1"/>
    </xf>
    <xf numFmtId="0" fontId="4" fillId="22" borderId="71" xfId="0" applyFont="1" applyFill="1" applyBorder="1" applyAlignment="1">
      <alignment horizontal="center" vertical="center" wrapText="1"/>
    </xf>
    <xf numFmtId="164" fontId="4" fillId="21" borderId="38" xfId="1" applyNumberFormat="1" applyFont="1" applyFill="1" applyBorder="1" applyAlignment="1">
      <alignment horizontal="center" vertical="center" wrapText="1"/>
    </xf>
    <xf numFmtId="0" fontId="0" fillId="3" borderId="19" xfId="0" applyFill="1" applyBorder="1" applyAlignment="1">
      <alignment vertical="center" wrapText="1"/>
    </xf>
    <xf numFmtId="164" fontId="0" fillId="3" borderId="25" xfId="1" applyNumberFormat="1" applyFont="1" applyFill="1" applyBorder="1" applyAlignment="1">
      <alignment vertical="center" wrapText="1"/>
    </xf>
    <xf numFmtId="0" fontId="0" fillId="3" borderId="48" xfId="0" applyFill="1" applyBorder="1" applyAlignment="1">
      <alignment horizontal="center" vertical="center" wrapText="1"/>
    </xf>
    <xf numFmtId="0" fontId="4" fillId="3" borderId="75" xfId="0" applyFont="1" applyFill="1" applyBorder="1" applyAlignment="1">
      <alignment horizontal="center"/>
    </xf>
    <xf numFmtId="0" fontId="6" fillId="13" borderId="49" xfId="0" applyFont="1" applyFill="1" applyBorder="1" applyAlignment="1">
      <alignment horizontal="center" vertical="center" wrapText="1"/>
    </xf>
    <xf numFmtId="0" fontId="6" fillId="13" borderId="54" xfId="0" applyFont="1" applyFill="1" applyBorder="1" applyAlignment="1">
      <alignment horizontal="center" vertical="center" wrapText="1"/>
    </xf>
    <xf numFmtId="0" fontId="6" fillId="13" borderId="60" xfId="0" applyFont="1" applyFill="1" applyBorder="1" applyAlignment="1">
      <alignment horizontal="center" vertical="center" wrapText="1"/>
    </xf>
    <xf numFmtId="0" fontId="7" fillId="13" borderId="62" xfId="0" applyFont="1" applyFill="1" applyBorder="1" applyAlignment="1">
      <alignment horizontal="center" vertical="center" wrapText="1"/>
    </xf>
    <xf numFmtId="0" fontId="4" fillId="4" borderId="32" xfId="0" applyFont="1" applyFill="1" applyBorder="1" applyAlignment="1">
      <alignment horizontal="center" vertical="center" wrapText="1"/>
    </xf>
    <xf numFmtId="0" fontId="4" fillId="4" borderId="62" xfId="0" applyFont="1" applyFill="1" applyBorder="1" applyAlignment="1">
      <alignment horizontal="center" vertical="center"/>
    </xf>
    <xf numFmtId="0" fontId="4" fillId="10" borderId="15" xfId="0" applyFont="1" applyFill="1" applyBorder="1" applyAlignment="1">
      <alignment horizontal="center" vertical="center" wrapText="1"/>
    </xf>
    <xf numFmtId="0" fontId="7" fillId="10" borderId="19" xfId="0" applyFont="1" applyFill="1" applyBorder="1" applyAlignment="1">
      <alignment horizontal="center" vertical="center" wrapText="1"/>
    </xf>
    <xf numFmtId="0" fontId="7" fillId="10" borderId="19" xfId="0" applyFont="1" applyFill="1" applyBorder="1" applyAlignment="1">
      <alignment horizontal="left" vertical="center" wrapText="1"/>
    </xf>
    <xf numFmtId="0" fontId="0" fillId="0" borderId="22" xfId="0" applyBorder="1" applyAlignment="1" applyProtection="1">
      <alignment horizontal="center" vertical="center"/>
      <protection locked="0"/>
    </xf>
    <xf numFmtId="0" fontId="0" fillId="0" borderId="23" xfId="0" applyBorder="1" applyAlignment="1" applyProtection="1">
      <alignment horizontal="center" vertical="center"/>
      <protection locked="0"/>
    </xf>
    <xf numFmtId="165" fontId="26" fillId="0" borderId="23" xfId="5" applyNumberFormat="1" applyFont="1" applyBorder="1" applyAlignment="1" applyProtection="1">
      <alignment horizontal="center" vertical="center"/>
      <protection locked="0"/>
    </xf>
    <xf numFmtId="0" fontId="0" fillId="0" borderId="69" xfId="0" applyBorder="1" applyAlignment="1" applyProtection="1">
      <alignment horizontal="center" vertical="center"/>
      <protection locked="0"/>
    </xf>
    <xf numFmtId="0" fontId="4" fillId="4" borderId="77" xfId="0" applyFont="1" applyFill="1" applyBorder="1" applyAlignment="1">
      <alignment horizontal="center" vertical="center" wrapText="1"/>
    </xf>
    <xf numFmtId="165" fontId="0" fillId="0" borderId="14" xfId="5" applyNumberFormat="1" applyFont="1" applyBorder="1" applyAlignment="1" applyProtection="1">
      <alignment vertical="center"/>
    </xf>
    <xf numFmtId="165" fontId="0" fillId="0" borderId="30" xfId="5" applyNumberFormat="1" applyFont="1" applyBorder="1" applyAlignment="1" applyProtection="1">
      <alignment vertical="center"/>
    </xf>
    <xf numFmtId="165" fontId="0" fillId="0" borderId="64" xfId="5" applyNumberFormat="1" applyFont="1" applyBorder="1" applyAlignment="1" applyProtection="1">
      <alignment vertical="center"/>
    </xf>
    <xf numFmtId="166" fontId="0" fillId="0" borderId="6" xfId="1" applyNumberFormat="1" applyFont="1" applyBorder="1" applyAlignment="1">
      <alignment vertical="center"/>
    </xf>
    <xf numFmtId="166" fontId="4" fillId="0" borderId="75" xfId="1" applyNumberFormat="1" applyFont="1" applyBorder="1" applyAlignment="1">
      <alignment vertical="center"/>
    </xf>
    <xf numFmtId="166" fontId="4" fillId="0" borderId="79" xfId="1" applyNumberFormat="1" applyFont="1" applyBorder="1" applyAlignment="1">
      <alignment vertical="center"/>
    </xf>
    <xf numFmtId="166" fontId="4" fillId="0" borderId="80" xfId="1" applyNumberFormat="1" applyFont="1" applyBorder="1" applyAlignment="1">
      <alignment vertical="center"/>
    </xf>
    <xf numFmtId="0" fontId="4" fillId="4" borderId="5" xfId="0" applyFont="1" applyFill="1" applyBorder="1" applyAlignment="1">
      <alignment horizontal="center" vertical="center" wrapText="1"/>
    </xf>
    <xf numFmtId="166" fontId="4" fillId="4" borderId="81" xfId="0" applyNumberFormat="1" applyFont="1" applyFill="1" applyBorder="1" applyAlignment="1">
      <alignment vertical="center"/>
    </xf>
    <xf numFmtId="164" fontId="4" fillId="4" borderId="25" xfId="0" applyNumberFormat="1" applyFont="1" applyFill="1" applyBorder="1" applyAlignment="1">
      <alignment vertical="center"/>
    </xf>
    <xf numFmtId="166" fontId="4" fillId="4" borderId="78" xfId="0" applyNumberFormat="1" applyFont="1" applyFill="1" applyBorder="1" applyAlignment="1">
      <alignment vertical="center"/>
    </xf>
    <xf numFmtId="0" fontId="0" fillId="0" borderId="8" xfId="0" applyBorder="1" applyAlignment="1">
      <alignment horizontal="center" vertical="center" wrapText="1"/>
    </xf>
    <xf numFmtId="166" fontId="0" fillId="0" borderId="16" xfId="1" applyNumberFormat="1" applyFont="1" applyBorder="1" applyAlignment="1">
      <alignment vertical="center"/>
    </xf>
    <xf numFmtId="166" fontId="0" fillId="0" borderId="9" xfId="1" applyNumberFormat="1" applyFont="1" applyBorder="1" applyAlignment="1">
      <alignment vertical="center"/>
    </xf>
    <xf numFmtId="0" fontId="0" fillId="0" borderId="10" xfId="0" applyBorder="1" applyAlignment="1">
      <alignment horizontal="center" vertical="center" wrapText="1"/>
    </xf>
    <xf numFmtId="166" fontId="0" fillId="0" borderId="7" xfId="1" applyNumberFormat="1" applyFont="1" applyBorder="1" applyAlignment="1">
      <alignment vertical="center"/>
    </xf>
    <xf numFmtId="166" fontId="0" fillId="0" borderId="17" xfId="1" applyNumberFormat="1" applyFont="1" applyBorder="1" applyAlignment="1">
      <alignment vertical="center"/>
    </xf>
    <xf numFmtId="166" fontId="0" fillId="0" borderId="12" xfId="1" applyNumberFormat="1" applyFont="1" applyBorder="1" applyAlignment="1">
      <alignment vertical="center"/>
    </xf>
    <xf numFmtId="166" fontId="32" fillId="0" borderId="6" xfId="1" applyNumberFormat="1" applyFont="1" applyBorder="1" applyAlignment="1">
      <alignment vertical="center"/>
    </xf>
    <xf numFmtId="166" fontId="32" fillId="0" borderId="7" xfId="1" applyNumberFormat="1" applyFont="1" applyBorder="1" applyAlignment="1">
      <alignment vertical="center"/>
    </xf>
    <xf numFmtId="166" fontId="33" fillId="0" borderId="79" xfId="1" applyNumberFormat="1" applyFont="1" applyBorder="1" applyAlignment="1">
      <alignment vertical="center"/>
    </xf>
    <xf numFmtId="0" fontId="0" fillId="0" borderId="11" xfId="0" applyBorder="1" applyAlignment="1">
      <alignment horizontal="center" vertical="center" wrapText="1"/>
    </xf>
    <xf numFmtId="0" fontId="19" fillId="0" borderId="0" xfId="0" applyFont="1" applyAlignment="1">
      <alignment vertical="center" wrapText="1"/>
    </xf>
    <xf numFmtId="0" fontId="25" fillId="0" borderId="0" xfId="0" applyFont="1" applyAlignment="1">
      <alignment vertical="center" wrapText="1"/>
    </xf>
    <xf numFmtId="0" fontId="29" fillId="0" borderId="0" xfId="0" applyFont="1" applyAlignment="1">
      <alignment vertical="center" wrapText="1"/>
    </xf>
    <xf numFmtId="0" fontId="2" fillId="2" borderId="1" xfId="2" applyFill="1" applyAlignment="1">
      <alignment horizontal="center"/>
    </xf>
    <xf numFmtId="0" fontId="7" fillId="0" borderId="29" xfId="3" applyFont="1" applyBorder="1" applyAlignment="1">
      <alignment horizontal="left" vertical="center" wrapText="1"/>
    </xf>
    <xf numFmtId="0" fontId="7" fillId="0" borderId="0" xfId="3" applyFont="1" applyBorder="1" applyAlignment="1">
      <alignment horizontal="left" vertical="center" wrapText="1"/>
    </xf>
    <xf numFmtId="0" fontId="4" fillId="11" borderId="56" xfId="0" applyFont="1" applyFill="1" applyBorder="1" applyAlignment="1">
      <alignment horizontal="center" vertical="center" wrapText="1"/>
    </xf>
    <xf numFmtId="0" fontId="4" fillId="11" borderId="34" xfId="0" applyFont="1" applyFill="1" applyBorder="1" applyAlignment="1">
      <alignment horizontal="center" vertical="center" wrapText="1"/>
    </xf>
    <xf numFmtId="0" fontId="4" fillId="11" borderId="55" xfId="0" applyFont="1" applyFill="1" applyBorder="1" applyAlignment="1">
      <alignment horizontal="center" vertical="center" wrapText="1"/>
    </xf>
    <xf numFmtId="0" fontId="4" fillId="11" borderId="21" xfId="0" applyFont="1" applyFill="1" applyBorder="1" applyAlignment="1">
      <alignment horizontal="center" vertical="center" wrapText="1"/>
    </xf>
    <xf numFmtId="0" fontId="4" fillId="11" borderId="33" xfId="0" applyFont="1" applyFill="1" applyBorder="1" applyAlignment="1">
      <alignment horizontal="center" vertical="center" wrapText="1"/>
    </xf>
    <xf numFmtId="0" fontId="4" fillId="11" borderId="39" xfId="0" applyFont="1" applyFill="1" applyBorder="1" applyAlignment="1">
      <alignment horizontal="center" vertical="center" wrapText="1"/>
    </xf>
    <xf numFmtId="0" fontId="4" fillId="11" borderId="21" xfId="0" applyFont="1" applyFill="1" applyBorder="1" applyAlignment="1">
      <alignment horizontal="center" vertical="center"/>
    </xf>
    <xf numFmtId="0" fontId="4" fillId="11" borderId="33" xfId="0" applyFont="1" applyFill="1" applyBorder="1" applyAlignment="1">
      <alignment horizontal="center" vertical="center"/>
    </xf>
    <xf numFmtId="0" fontId="4" fillId="11" borderId="39" xfId="0" applyFont="1" applyFill="1" applyBorder="1" applyAlignment="1">
      <alignment horizontal="center" vertical="center"/>
    </xf>
    <xf numFmtId="0" fontId="4" fillId="11" borderId="72" xfId="0" applyFont="1" applyFill="1" applyBorder="1" applyAlignment="1">
      <alignment horizontal="center" vertical="center"/>
    </xf>
    <xf numFmtId="0" fontId="4" fillId="11" borderId="73" xfId="0" applyFont="1" applyFill="1" applyBorder="1" applyAlignment="1">
      <alignment horizontal="center" vertical="center"/>
    </xf>
    <xf numFmtId="0" fontId="4" fillId="11" borderId="74" xfId="0" applyFont="1" applyFill="1" applyBorder="1" applyAlignment="1">
      <alignment horizontal="center" vertical="center"/>
    </xf>
    <xf numFmtId="0" fontId="15" fillId="15" borderId="5" xfId="3" applyFont="1" applyFill="1" applyBorder="1" applyAlignment="1">
      <alignment horizontal="center"/>
    </xf>
    <xf numFmtId="0" fontId="15" fillId="15" borderId="40" xfId="3" applyFont="1" applyFill="1" applyBorder="1" applyAlignment="1">
      <alignment horizontal="center"/>
    </xf>
    <xf numFmtId="0" fontId="15" fillId="15" borderId="3" xfId="3" applyFont="1" applyFill="1" applyBorder="1" applyAlignment="1">
      <alignment horizontal="center"/>
    </xf>
    <xf numFmtId="0" fontId="27" fillId="19" borderId="19" xfId="0" applyFont="1" applyFill="1" applyBorder="1" applyAlignment="1">
      <alignment horizontal="center"/>
    </xf>
    <xf numFmtId="0" fontId="27" fillId="19" borderId="15" xfId="0" applyFont="1" applyFill="1" applyBorder="1" applyAlignment="1">
      <alignment horizontal="center"/>
    </xf>
    <xf numFmtId="0" fontId="27" fillId="19" borderId="18" xfId="0" applyFont="1" applyFill="1" applyBorder="1" applyAlignment="1">
      <alignment horizontal="center"/>
    </xf>
    <xf numFmtId="0" fontId="27" fillId="12" borderId="31" xfId="0" applyFont="1" applyFill="1" applyBorder="1" applyAlignment="1">
      <alignment horizontal="center" vertical="center" wrapText="1"/>
    </xf>
    <xf numFmtId="0" fontId="4" fillId="20" borderId="20" xfId="0" applyFont="1" applyFill="1" applyBorder="1" applyAlignment="1">
      <alignment horizontal="center" vertical="center" wrapText="1"/>
    </xf>
    <xf numFmtId="0" fontId="4" fillId="20" borderId="35" xfId="0" applyFont="1" applyFill="1" applyBorder="1" applyAlignment="1">
      <alignment horizontal="center" vertical="center" wrapText="1"/>
    </xf>
    <xf numFmtId="0" fontId="4" fillId="20" borderId="48" xfId="0" applyFont="1" applyFill="1" applyBorder="1" applyAlignment="1">
      <alignment horizontal="center" vertical="center" wrapText="1"/>
    </xf>
    <xf numFmtId="0" fontId="0" fillId="0" borderId="32" xfId="0" applyBorder="1" applyAlignment="1">
      <alignment horizontal="center"/>
    </xf>
    <xf numFmtId="0" fontId="0" fillId="0" borderId="76" xfId="0" applyBorder="1" applyAlignment="1">
      <alignment horizontal="center"/>
    </xf>
    <xf numFmtId="0" fontId="16" fillId="20" borderId="25" xfId="0" applyFont="1" applyFill="1" applyBorder="1" applyAlignment="1">
      <alignment horizontal="center" vertical="center" wrapText="1"/>
    </xf>
    <xf numFmtId="0" fontId="16" fillId="20" borderId="40" xfId="0" applyFont="1" applyFill="1" applyBorder="1" applyAlignment="1">
      <alignment horizontal="center" vertical="center" wrapText="1"/>
    </xf>
    <xf numFmtId="0" fontId="16" fillId="20" borderId="3" xfId="0" applyFont="1" applyFill="1" applyBorder="1" applyAlignment="1">
      <alignment horizontal="center" vertical="center" wrapText="1"/>
    </xf>
    <xf numFmtId="0" fontId="16" fillId="20" borderId="37" xfId="0" applyFont="1" applyFill="1" applyBorder="1" applyAlignment="1">
      <alignment horizontal="center" vertical="center" wrapText="1"/>
    </xf>
    <xf numFmtId="0" fontId="16" fillId="20" borderId="38" xfId="0" applyFont="1" applyFill="1" applyBorder="1" applyAlignment="1">
      <alignment horizontal="center" vertical="center" wrapText="1"/>
    </xf>
    <xf numFmtId="0" fontId="16" fillId="20" borderId="4" xfId="0" applyFont="1" applyFill="1" applyBorder="1" applyAlignment="1">
      <alignment horizontal="center" vertical="center" wrapText="1"/>
    </xf>
    <xf numFmtId="0" fontId="15" fillId="14" borderId="38" xfId="3" applyFont="1" applyFill="1" applyBorder="1" applyAlignment="1">
      <alignment horizontal="center" vertical="center"/>
    </xf>
    <xf numFmtId="0" fontId="15" fillId="14" borderId="4" xfId="3" applyFont="1" applyFill="1" applyBorder="1" applyAlignment="1">
      <alignment horizontal="center" vertical="center"/>
    </xf>
    <xf numFmtId="0" fontId="4" fillId="22" borderId="21" xfId="0" applyFont="1" applyFill="1" applyBorder="1" applyAlignment="1">
      <alignment horizontal="center" vertical="center" wrapText="1"/>
    </xf>
    <xf numFmtId="0" fontId="4" fillId="22" borderId="33" xfId="0" applyFont="1" applyFill="1" applyBorder="1" applyAlignment="1">
      <alignment horizontal="center" vertical="center" wrapText="1"/>
    </xf>
    <xf numFmtId="0" fontId="4" fillId="22" borderId="39" xfId="0" applyFont="1" applyFill="1" applyBorder="1" applyAlignment="1">
      <alignment horizontal="center" vertical="center" wrapText="1"/>
    </xf>
    <xf numFmtId="0" fontId="4" fillId="22" borderId="56" xfId="0" applyFont="1" applyFill="1" applyBorder="1" applyAlignment="1">
      <alignment horizontal="center" vertical="center" wrapText="1"/>
    </xf>
    <xf numFmtId="0" fontId="4" fillId="22" borderId="34" xfId="0" applyFont="1" applyFill="1" applyBorder="1" applyAlignment="1">
      <alignment horizontal="center" vertical="center" wrapText="1"/>
    </xf>
    <xf numFmtId="0" fontId="4" fillId="22" borderId="55" xfId="0" applyFont="1" applyFill="1" applyBorder="1" applyAlignment="1">
      <alignment horizontal="center" vertical="center" wrapText="1"/>
    </xf>
  </cellXfs>
  <cellStyles count="6">
    <cellStyle name="Comma" xfId="5" builtinId="3"/>
    <cellStyle name="Currency" xfId="1" builtinId="4"/>
    <cellStyle name="Heading 1" xfId="2" builtinId="16"/>
    <cellStyle name="Heading 2" xfId="3" builtinId="17"/>
    <cellStyle name="Hyperlink" xfId="4" builtinId="8"/>
    <cellStyle name="Normal" xfId="0" builtinId="0"/>
  </cellStyles>
  <dxfs count="204">
    <dxf>
      <numFmt numFmtId="164" formatCode="_(&quot;$&quot;* #,##0_);_(&quot;$&quot;* \(#,##0\);_(&quot;$&quot;* &quot;-&quot;??_);_(@_)"/>
    </dxf>
    <dxf>
      <numFmt numFmtId="0" formatCode="General"/>
    </dxf>
    <dxf>
      <numFmt numFmtId="0" formatCode="General"/>
      <alignment horizontal="center" vertical="bottom" textRotation="0" wrapText="0" indent="0" justifyLastLine="0" shrinkToFit="0" readingOrder="0"/>
    </dxf>
    <dxf>
      <numFmt numFmtId="0" formatCode="General"/>
    </dxf>
    <dxf>
      <numFmt numFmtId="0" formatCode="General"/>
    </dxf>
    <dxf>
      <alignment horizontal="center" vertical="center" textRotation="0" wrapText="1" indent="0" justifyLastLine="0" shrinkToFit="0" readingOrder="0"/>
    </dxf>
    <dxf>
      <numFmt numFmtId="164" formatCode="_(&quot;$&quot;* #,##0_);_(&quot;$&quot;* \(#,##0\);_(&quot;$&quot;* &quot;-&quot;??_);_(@_)"/>
    </dxf>
    <dxf>
      <numFmt numFmtId="0" formatCode="General"/>
    </dxf>
    <dxf>
      <numFmt numFmtId="0" formatCode="General"/>
      <alignment horizontal="center" vertical="bottom" textRotation="0" wrapText="0" indent="0" justifyLastLine="0" shrinkToFit="0" readingOrder="0"/>
    </dxf>
    <dxf>
      <numFmt numFmtId="0" formatCode="General"/>
    </dxf>
    <dxf>
      <numFmt numFmtId="0" formatCode="General"/>
    </dxf>
    <dxf>
      <alignment horizontal="center" vertical="center" textRotation="0" wrapText="1" indent="0" justifyLastLine="0" shrinkToFit="0" readingOrder="0"/>
    </dxf>
    <dxf>
      <alignment horizontal="center" vertical="center" textRotation="0" wrapText="1" indent="0" justifyLastLine="0" shrinkToFit="0" readingOrder="0"/>
    </dxf>
    <dxf>
      <numFmt numFmtId="0" formatCode="General"/>
    </dxf>
    <dxf>
      <alignment horizontal="right" vertical="bottom" textRotation="0" wrapText="0" indent="0" justifyLastLine="0" shrinkToFit="0" readingOrder="0"/>
    </dxf>
    <dxf>
      <alignment horizontal="right" vertical="bottom" textRotation="0" wrapText="0" indent="0" justifyLastLine="0" shrinkToFit="0" readingOrder="0"/>
    </dxf>
    <dxf>
      <alignment horizontal="center" vertical="center" textRotation="0" wrapText="1" indent="0" justifyLastLine="0" shrinkToFit="0" readingOrder="0"/>
    </dxf>
    <dxf>
      <numFmt numFmtId="0" formatCode="General"/>
    </dxf>
    <dxf>
      <numFmt numFmtId="0" formatCode="General"/>
    </dxf>
    <dxf>
      <numFmt numFmtId="0" formatCode="General"/>
    </dxf>
    <dxf>
      <numFmt numFmtId="0" formatCode="General"/>
    </dxf>
    <dxf>
      <numFmt numFmtId="0" formatCode="General"/>
    </dxf>
    <dxf>
      <numFmt numFmtId="0" formatCode="General"/>
    </dxf>
    <dxf>
      <alignment horizontal="center" vertical="bottom" textRotation="0" wrapText="0" indent="0" justifyLastLine="0" shrinkToFit="0" readingOrder="0"/>
    </dxf>
    <dxf>
      <alignment horizontal="center" vertical="bottom" textRotation="0" wrapText="0" indent="0" justifyLastLine="0" shrinkToFit="0" readingOrder="0"/>
    </dxf>
    <dxf>
      <numFmt numFmtId="0" formatCode="General"/>
    </dxf>
    <dxf>
      <alignment horizontal="center" vertical="center" textRotation="0" wrapText="1" indent="0" justifyLastLine="0" shrinkToFit="0" readingOrder="0"/>
    </dxf>
    <dxf>
      <numFmt numFmtId="0" formatCode="General"/>
    </dxf>
    <dxf>
      <alignment horizontal="center" vertical="center" textRotation="0" wrapText="1"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center" vertical="bottom" textRotation="0" wrapText="0" indent="0" justifyLastLine="0" shrinkToFit="0" readingOrder="0"/>
    </dxf>
    <dxf>
      <alignment horizontal="general" vertical="bottom" textRotation="90" wrapText="0" indent="0" justifyLastLine="0" shrinkToFit="0" readingOrder="0"/>
    </dxf>
    <dxf>
      <font>
        <b/>
        <i val="0"/>
        <strike val="0"/>
        <condense val="0"/>
        <extend val="0"/>
        <outline val="0"/>
        <shadow val="0"/>
        <u val="none"/>
        <vertAlign val="baseline"/>
        <sz val="11"/>
        <color theme="1"/>
        <name val="Calibri"/>
        <family val="2"/>
        <scheme val="minor"/>
      </font>
      <numFmt numFmtId="166" formatCode="_(&quot;$&quot;* #,##0_);_(&quot;$&quot;* \(#,##0\);"/>
      <fill>
        <patternFill patternType="solid">
          <fgColor indexed="64"/>
          <bgColor theme="0" tint="-0.249977111117893"/>
        </patternFill>
      </fill>
      <alignment horizontal="general" vertical="center" textRotation="0" wrapText="0" indent="0" justifyLastLine="0" shrinkToFit="0" readingOrder="0"/>
      <border diagonalUp="0" diagonalDown="0" outline="0">
        <left style="medium">
          <color indexed="64"/>
        </left>
        <right style="medium">
          <color indexed="64"/>
        </right>
        <top style="medium">
          <color auto="1"/>
        </top>
        <bottom style="medium">
          <color auto="1"/>
        </bottom>
      </border>
    </dxf>
    <dxf>
      <font>
        <b/>
        <i val="0"/>
        <strike val="0"/>
        <condense val="0"/>
        <extend val="0"/>
        <outline val="0"/>
        <shadow val="0"/>
        <u val="none"/>
        <vertAlign val="baseline"/>
        <sz val="11"/>
        <color theme="1"/>
        <name val="Calibri"/>
        <scheme val="minor"/>
      </font>
      <numFmt numFmtId="166" formatCode="_(&quot;$&quot;* #,##0_);_(&quot;$&quot;* \(#,##0\);"/>
      <alignment horizontal="general" vertical="center" textRotation="0" wrapText="0" indent="0" justifyLastLine="0" shrinkToFit="0" readingOrder="0"/>
      <border diagonalUp="0" diagonalDown="0">
        <left style="medium">
          <color indexed="64"/>
        </left>
        <right style="medium">
          <color indexed="64"/>
        </right>
        <top style="thin">
          <color indexed="64"/>
        </top>
        <bottom style="thin">
          <color indexed="64"/>
        </bottom>
        <vertical/>
        <horizontal style="thin">
          <color indexed="64"/>
        </horizontal>
      </border>
    </dxf>
    <dxf>
      <font>
        <b/>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indexed="64"/>
          <bgColor theme="0" tint="-0.249977111117893"/>
        </patternFill>
      </fill>
      <alignment horizontal="general" vertical="center" textRotation="0" wrapText="0"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6" formatCode="_(&quot;$&quot;* #,##0_);_(&quot;$&quot;* \(#,##0\);"/>
      <alignment horizontal="general" vertical="center" textRotation="0" wrapText="0" indent="0" justifyLastLine="0" shrinkToFit="0" readingOrder="0"/>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numFmt numFmtId="166" formatCode="_(&quot;$&quot;* #,##0_);_(&quot;$&quot;* \(#,##0\);"/>
      <fill>
        <patternFill patternType="solid">
          <fgColor indexed="64"/>
          <bgColor theme="0" tint="-0.249977111117893"/>
        </patternFill>
      </fill>
      <alignment horizontal="general" vertical="center" textRotation="0" wrapText="0" indent="0" justifyLastLine="0" shrinkToFit="0" readingOrder="0"/>
      <border diagonalUp="0" diagonalDown="0" outline="0">
        <left style="thin">
          <color theme="1"/>
        </left>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6" formatCode="_(&quot;$&quot;* #,##0_);_(&quot;$&quot;* \(#,##0\);"/>
      <alignment horizontal="general" vertical="center" textRotation="0" wrapText="0" indent="0" justifyLastLine="0" shrinkToFit="0" readingOrder="0"/>
      <border diagonalUp="0" diagonalDown="0">
        <left style="thin">
          <color indexed="64"/>
        </left>
        <right style="thin">
          <color indexed="64"/>
        </right>
        <top style="thin">
          <color indexed="64"/>
        </top>
        <bottom style="thin">
          <color indexed="64"/>
        </bottom>
        <vertical style="thin">
          <color indexed="64"/>
        </vertical>
        <horizontal style="thin">
          <color indexed="64"/>
        </horizontal>
      </border>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border>
        <top style="medium">
          <color indexed="64"/>
        </top>
      </border>
    </dxf>
    <dxf>
      <font>
        <b/>
      </font>
      <fill>
        <patternFill patternType="solid">
          <fgColor indexed="64"/>
          <bgColor theme="0" tint="-0.249977111117893"/>
        </patternFill>
      </fill>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auto="1"/>
        <name val="Calibri"/>
        <scheme val="minor"/>
      </font>
      <fill>
        <patternFill>
          <bgColor rgb="FF9999FF"/>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165" formatCode="_(* #,##0_);_(* \(#,##0\);_(* &quot;-&quot;??_);_(@_)"/>
    </dxf>
    <dxf>
      <font>
        <b val="0"/>
        <i val="0"/>
        <strike val="0"/>
        <condense val="0"/>
        <extend val="0"/>
        <outline val="0"/>
        <shadow val="0"/>
        <u val="none"/>
        <vertAlign val="baseline"/>
        <sz val="11"/>
        <color theme="1"/>
        <name val="Calibri"/>
        <scheme val="minor"/>
      </font>
      <numFmt numFmtId="0" formatCode="General"/>
      <fill>
        <patternFill patternType="none">
          <fgColor indexed="64"/>
          <bgColor auto="1"/>
        </patternFill>
      </fill>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0" formatCode="General"/>
    </dxf>
    <dxf>
      <font>
        <b val="0"/>
        <i val="0"/>
        <strike val="0"/>
        <condense val="0"/>
        <extend val="0"/>
        <outline val="0"/>
        <shadow val="0"/>
        <u val="none"/>
        <vertAlign val="baseline"/>
        <sz val="11"/>
        <color theme="1"/>
        <name val="Calibri"/>
        <scheme val="minor"/>
      </font>
      <numFmt numFmtId="164" formatCode="_(&quot;$&quot;* #,##0_);_(&quot;$&quot;* \(#,##0\);_(&quot;$&quot;* &quot;-&quot;??_);_(@_)"/>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auto="1"/>
        </left>
        <right style="medium">
          <color indexed="64"/>
        </right>
        <top/>
        <bottom/>
        <vertical style="thin">
          <color auto="1"/>
        </vertical>
        <horizontal/>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1"/>
        <color theme="1"/>
        <name val="Calibri"/>
        <scheme val="minor"/>
      </font>
      <alignment horizontal="general" vertical="center" textRotation="0" wrapText="0" indent="0" justifyLastLine="0" shrinkToFit="0" readingOrder="0"/>
      <border diagonalUp="0" diagonalDown="0">
        <left style="thin">
          <color auto="1"/>
        </left>
        <right style="thin">
          <color auto="1"/>
        </right>
        <top/>
        <bottom/>
        <vertical style="thin">
          <color auto="1"/>
        </vertical>
        <horizontal/>
      </border>
      <protection locked="0" hidden="0"/>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indexed="65"/>
        </patternFill>
      </fill>
      <alignment horizontal="right" vertical="center" textRotation="0" wrapText="0" indent="0" justifyLastLine="0" shrinkToFit="0" readingOrder="0"/>
      <border diagonalUp="0" diagonalDown="0">
        <left/>
        <right style="thin">
          <color indexed="64"/>
        </right>
        <top style="thin">
          <color indexed="64"/>
        </top>
        <bottom style="thin">
          <color indexed="64"/>
        </bottom>
        <vertical/>
        <horizontal/>
      </border>
    </dxf>
    <dxf>
      <font>
        <b val="0"/>
        <i val="0"/>
        <strike val="0"/>
        <condense val="0"/>
        <extend val="0"/>
        <outline val="0"/>
        <shadow val="0"/>
        <u val="none"/>
        <vertAlign val="baseline"/>
        <sz val="11"/>
        <color theme="1"/>
        <name val="Calibri"/>
        <scheme val="minor"/>
      </font>
      <numFmt numFmtId="164" formatCode="_(&quot;$&quot;* #,##0_);_(&quot;$&quot;* \(#,##0\);_(&quot;$&quot;* &quot;-&quot;??_);_(@_)"/>
      <fill>
        <patternFill patternType="none">
          <fgColor indexed="64"/>
          <bgColor auto="1"/>
        </patternFill>
      </fill>
      <alignment horizontal="right" vertical="center" textRotation="0" wrapText="0" indent="0" justifyLastLine="0" shrinkToFit="0" readingOrder="0"/>
      <border diagonalUp="0" diagonalDown="0">
        <left style="medium">
          <color indexed="64"/>
        </left>
        <right style="thin">
          <color auto="1"/>
        </right>
        <top/>
        <bottom/>
        <vertical style="thin">
          <color auto="1"/>
        </vertical>
        <horizontal/>
      </border>
    </dxf>
    <dxf>
      <font>
        <b val="0"/>
        <i val="0"/>
        <strike val="0"/>
        <condense val="0"/>
        <extend val="0"/>
        <outline val="0"/>
        <shadow val="0"/>
        <u val="none"/>
        <vertAlign val="baseline"/>
        <sz val="11"/>
        <color theme="1"/>
        <name val="Calibri"/>
        <scheme val="minor"/>
      </font>
      <numFmt numFmtId="164" formatCode="_(&quot;$&quot;* #,##0_);_(&quot;$&quot;* \(#,##0\);_(&quot;$&quot;* &quot;-&quot;??_);_(@_)"/>
      <alignment vertical="center" textRotation="0" wrapText="0" indent="0" justifyLastLine="0" shrinkToFit="0" readingOrder="0"/>
      <border diagonalUp="0" diagonalDown="0">
        <left/>
        <right style="medium">
          <color indexed="64"/>
        </right>
        <top/>
        <bottom/>
        <vertical/>
        <horizontal/>
      </border>
    </dxf>
    <dxf>
      <font>
        <b val="0"/>
        <i val="0"/>
        <strike val="0"/>
        <condense val="0"/>
        <extend val="0"/>
        <outline val="0"/>
        <shadow val="0"/>
        <u val="none"/>
        <vertAlign val="baseline"/>
        <sz val="11"/>
        <color theme="1"/>
        <name val="Calibri"/>
        <scheme val="minor"/>
      </font>
      <numFmt numFmtId="164" formatCode="_(&quot;$&quot;* #,##0_);_(&quot;$&quot;* \(#,##0\);_(&quot;$&quot;* &quot;-&quot;??_);_(@_)"/>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164" formatCode="_(&quot;$&quot;* #,##0_);_(&quot;$&quot;* \(#,##0\);_(&quot;$&quot;* &quot;-&quot;??_);_(@_)"/>
      <alignment vertical="center" textRotation="0" wrapText="0" indent="0" justifyLastLine="0" shrinkToFit="0" readingOrder="0"/>
    </dxf>
    <dxf>
      <font>
        <b val="0"/>
        <i val="0"/>
        <strike val="0"/>
        <condense val="0"/>
        <extend val="0"/>
        <outline val="0"/>
        <shadow val="0"/>
        <u val="none"/>
        <vertAlign val="baseline"/>
        <sz val="11"/>
        <color theme="1"/>
        <name val="Calibri"/>
        <scheme val="minor"/>
      </font>
      <numFmt numFmtId="0" formatCode="General"/>
      <alignment horizontal="center" vertical="center" textRotation="0" wrapText="0" indent="0" justifyLastLine="0" shrinkToFit="0" readingOrder="0"/>
      <border diagonalUp="0" diagonalDown="0">
        <left style="medium">
          <color indexed="64"/>
        </left>
        <right/>
        <top/>
        <bottom/>
        <vertical/>
        <horizontal/>
      </border>
    </dxf>
    <dxf>
      <font>
        <b val="0"/>
        <i val="0"/>
        <strike val="0"/>
        <condense val="0"/>
        <extend val="0"/>
        <outline val="0"/>
        <shadow val="0"/>
        <u val="none"/>
        <vertAlign val="baseline"/>
        <sz val="11"/>
        <color theme="0"/>
        <name val="Calibri"/>
        <scheme val="minor"/>
      </font>
      <numFmt numFmtId="165" formatCode="_(* #,##0_);_(* \(#,##0\);_(* &quot;-&quot;??_);_(@_)"/>
      <fill>
        <patternFill patternType="solid">
          <fgColor indexed="64"/>
          <bgColor theme="0"/>
        </patternFill>
      </fill>
      <alignment horizontal="center" vertical="center" textRotation="0" wrapText="0" indent="0" justifyLastLine="0" shrinkToFit="0" readingOrder="0"/>
      <border diagonalUp="0" diagonalDown="0">
        <left/>
        <right style="medium">
          <color auto="1"/>
        </right>
        <top/>
        <bottom/>
        <vertical/>
        <horizontal/>
      </border>
      <protection locked="0" hidden="0"/>
    </dxf>
    <dxf>
      <font>
        <b val="0"/>
        <i val="0"/>
        <strike val="0"/>
        <condense val="0"/>
        <extend val="0"/>
        <outline val="0"/>
        <shadow val="0"/>
        <u val="none"/>
        <vertAlign val="baseline"/>
        <sz val="11"/>
        <color theme="1"/>
        <name val="Calibri"/>
        <scheme val="minor"/>
      </font>
      <numFmt numFmtId="165" formatCode="_(* #,##0_);_(* \(#,##0\);_(* &quot;-&quot;??_);_(@_)"/>
      <fill>
        <patternFill patternType="solid">
          <fgColor indexed="64"/>
          <bgColor theme="0"/>
        </patternFill>
      </fill>
      <alignment horizontal="center" vertical="center" textRotation="0" wrapText="0" indent="0" justifyLastLine="0" shrinkToFit="0" readingOrder="0"/>
      <protection locked="0" hidden="0"/>
    </dxf>
    <dxf>
      <font>
        <b val="0"/>
        <i val="0"/>
        <strike val="0"/>
        <condense val="0"/>
        <extend val="0"/>
        <outline val="0"/>
        <shadow val="0"/>
        <u val="none"/>
        <vertAlign val="baseline"/>
        <sz val="11"/>
        <color theme="1"/>
        <name val="Calibri"/>
        <scheme val="minor"/>
      </font>
    </dxf>
    <dxf>
      <font>
        <b val="0"/>
        <i val="0"/>
        <strike val="0"/>
        <condense val="0"/>
        <extend val="0"/>
        <outline val="0"/>
        <shadow val="0"/>
        <u val="none"/>
        <vertAlign val="baseline"/>
        <sz val="11"/>
        <color theme="1"/>
        <name val="Calibri"/>
        <scheme val="minor"/>
      </font>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165" formatCode="_(* #,##0_);_(* \(#,##0\);_(* &quot;-&quot;??_);_(@_)"/>
      <alignment horizontal="general" vertical="center" textRotation="0" wrapText="0" indent="0" justifyLastLine="0" shrinkToFit="0" readingOrder="0"/>
      <border diagonalUp="0" diagonalDown="0" outline="0">
        <left style="thin">
          <color indexed="64"/>
        </left>
        <right style="medium">
          <color indexed="64"/>
        </right>
        <top style="medium">
          <color auto="1"/>
        </top>
        <bottom style="medium">
          <color auto="1"/>
        </bottom>
      </border>
      <protection locked="0" hidden="0"/>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strike val="0"/>
        <outline val="0"/>
        <shadow val="0"/>
        <u val="none"/>
        <vertAlign val="baseline"/>
        <color theme="1"/>
        <name val="Calibri"/>
        <scheme val="minor"/>
      </font>
      <numFmt numFmtId="165" formatCode="_(* #,##0_);_(* \(#,##0\);_(* &quot;-&quot;??_);_(@_)"/>
      <alignment horizontal="general" vertical="center" textRotation="0" wrapText="0" indent="0" justifyLastLine="0" shrinkToFit="0" readingOrder="0"/>
      <border diagonalUp="0" diagonalDown="0" outline="0">
        <left style="thin">
          <color indexed="64"/>
        </left>
        <right style="thin">
          <color indexed="64"/>
        </right>
        <top style="medium">
          <color auto="1"/>
        </top>
        <bottom style="medium">
          <color auto="1"/>
        </bottom>
      </border>
      <protection locked="0" hidden="0"/>
    </dxf>
    <dxf>
      <numFmt numFmtId="35" formatCode="_(* #,##0.00_);_(* \(#,##0.00\);_(*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strike val="0"/>
        <outline val="0"/>
        <shadow val="0"/>
        <u val="none"/>
        <vertAlign val="baseline"/>
        <color theme="1"/>
        <name val="Calibri"/>
        <scheme val="minor"/>
      </font>
      <alignment horizontal="general" vertical="center" textRotation="0" wrapText="0" indent="0" justifyLastLine="0" shrinkToFit="0" readingOrder="0"/>
      <border diagonalUp="0" diagonalDown="0" outline="0">
        <left style="medium">
          <color indexed="64"/>
        </left>
        <right style="thin">
          <color indexed="64"/>
        </right>
        <top style="medium">
          <color auto="1"/>
        </top>
        <bottom style="medium">
          <color auto="1"/>
        </bottom>
      </border>
      <protection locked="0" hidden="0"/>
    </dxf>
    <dxf>
      <numFmt numFmtId="164" formatCode="_(&quot;$&quot;* #,##0_);_(&quot;$&quot;* \(#,##0\);_(&quot;$&quot;*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4" formatCode="_(&quot;$&quot;* #,##0_);_(&quot;$&quot;* \(#,##0\);_(&quot;$&quot;* &quot;-&quot;??_);_(@_)"/>
      <border diagonalUp="0" diagonalDown="0">
        <left/>
        <right/>
        <top style="thin">
          <color indexed="64"/>
        </top>
        <bottom style="thin">
          <color indexed="64"/>
        </bottom>
        <vertical/>
        <horizontal/>
      </border>
      <protection locked="1" hidden="0"/>
    </dxf>
    <dxf>
      <numFmt numFmtId="164" formatCode="_(&quot;$&quot;* #,##0_);_(&quot;$&quot;* \(#,##0\);_(&quot;$&quot;* &quot;-&quot;??_);_(@_)"/>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top style="medium">
          <color indexed="64"/>
        </top>
        <bottom style="medium">
          <color indexed="64"/>
        </bottom>
      </border>
    </dxf>
    <dxf>
      <numFmt numFmtId="164" formatCode="_(&quot;$&quot;* #,##0_);_(&quot;$&quot;* \(#,##0\);_(&quot;$&quot;* &quot;-&quot;??_);_(@_)"/>
      <border diagonalUp="0" diagonalDown="0" outline="0">
        <left style="thin">
          <color indexed="64"/>
        </left>
        <right style="medium">
          <color indexed="64"/>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i val="0"/>
        <strike val="0"/>
        <condense val="0"/>
        <extend val="0"/>
        <outline val="0"/>
        <shadow val="0"/>
        <u val="none"/>
        <vertAlign val="baseline"/>
        <sz val="11"/>
        <color theme="1"/>
        <name val="Calibri"/>
        <scheme val="minor"/>
      </font>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alignment horizontal="general" vertical="center" textRotation="0" wrapText="1" indent="0" justifyLastLine="0" shrinkToFit="0" readingOrder="0"/>
      <border diagonalUp="0" diagonalDown="0" outline="0">
        <left/>
        <right style="medium">
          <color indexed="64"/>
        </right>
        <top style="medium">
          <color indexed="64"/>
        </top>
        <bottom/>
      </border>
    </dxf>
    <dxf>
      <alignment horizontal="left" textRotation="0"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alignment horizontal="general" vertical="center" textRotation="0" wrapText="1" indent="0" justifyLastLine="0" shrinkToFit="0" readingOrder="0"/>
      <border diagonalUp="0" diagonalDown="0" outline="0">
        <left/>
        <right/>
        <top style="medium">
          <color indexed="64"/>
        </top>
        <bottom/>
      </border>
    </dxf>
    <dxf>
      <alignment horizontal="left"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protection locked="0" hidden="0"/>
    </dxf>
    <dxf>
      <fill>
        <patternFill patternType="solid">
          <fgColor indexed="64"/>
          <bgColor theme="0"/>
        </patternFill>
      </fill>
      <border diagonalUp="0" diagonalDown="0" outline="0">
        <left/>
        <right/>
        <top style="medium">
          <color indexed="64"/>
        </top>
        <bottom/>
      </border>
    </dxf>
    <dxf>
      <alignment horizontal="center" vertical="center" textRotation="0" wrapText="0" indent="0" justifyLastLine="0" shrinkToFit="0" readingOrder="0"/>
      <border diagonalUp="0" diagonalDown="0" outline="0">
        <left style="thin">
          <color indexed="64"/>
        </left>
        <right style="thin">
          <color indexed="64"/>
        </right>
        <top/>
        <bottom/>
      </border>
      <protection locked="0" hidden="0"/>
    </dxf>
    <dxf>
      <fill>
        <patternFill patternType="solid">
          <fgColor indexed="64"/>
          <bgColor theme="0"/>
        </patternFill>
      </fill>
      <border diagonalUp="0" diagonalDown="0" outline="0">
        <left/>
        <right/>
        <top style="medium">
          <color indexed="64"/>
        </top>
        <bottom/>
      </border>
    </dxf>
    <dxf>
      <font>
        <strike val="0"/>
        <outline val="0"/>
        <shadow val="0"/>
        <u val="none"/>
        <vertAlign val="baseline"/>
        <color theme="1"/>
        <name val="Calibri"/>
        <scheme val="minor"/>
      </font>
      <numFmt numFmtId="165" formatCode="_(* #,##0_);_(* \(#,##0\);_(* &quot;-&quot;??_);_(@_)"/>
      <alignment horizontal="center" vertical="center" textRotation="0" wrapText="0" indent="0" justifyLastLine="0" shrinkToFit="0" readingOrder="0"/>
      <border diagonalUp="0" diagonalDown="0">
        <left style="medium">
          <color indexed="64"/>
        </left>
        <right style="thin">
          <color indexed="64"/>
        </right>
        <top style="thin">
          <color indexed="64"/>
        </top>
        <bottom style="thin">
          <color indexed="64"/>
        </bottom>
      </border>
      <protection locked="0" hidden="0"/>
    </dxf>
    <dxf>
      <fill>
        <patternFill patternType="solid">
          <fgColor indexed="64"/>
          <bgColor theme="0"/>
        </patternFill>
      </fill>
      <border diagonalUp="0" diagonalDown="0" outline="0">
        <left/>
        <right/>
        <top style="medium">
          <color indexed="64"/>
        </top>
        <bottom/>
      </border>
    </dxf>
    <dxf>
      <font>
        <strike val="0"/>
        <outline val="0"/>
        <shadow val="0"/>
        <u val="none"/>
        <vertAlign val="baseline"/>
        <color theme="1"/>
        <name val="Calibri"/>
        <scheme val="minor"/>
      </font>
      <numFmt numFmtId="0" formatCode="General"/>
      <alignment horizontal="center" vertical="center" textRotation="0" wrapText="0" indent="0" justifyLastLine="0" shrinkToFit="0" readingOrder="0"/>
      <border diagonalUp="0" diagonalDown="0" outline="0">
        <left style="thin">
          <color indexed="64"/>
        </left>
        <right style="medium">
          <color indexed="64"/>
        </right>
        <top style="thin">
          <color indexed="64"/>
        </top>
        <bottom style="thin">
          <color indexed="64"/>
        </bottom>
      </border>
      <protection locked="0" hidden="0"/>
    </dxf>
    <dxf>
      <fill>
        <patternFill patternType="solid">
          <fgColor indexed="64"/>
          <bgColor theme="0"/>
        </patternFill>
      </fill>
      <border diagonalUp="0" diagonalDown="0" outline="0">
        <left/>
        <right/>
        <top style="medium">
          <color indexed="64"/>
        </top>
        <bottom/>
      </border>
    </dxf>
    <dxf>
      <font>
        <b val="0"/>
        <i val="0"/>
        <strike val="0"/>
        <condense val="0"/>
        <extend val="0"/>
        <outline val="0"/>
        <shadow val="0"/>
        <u val="none"/>
        <vertAlign val="baseline"/>
        <sz val="11"/>
        <color theme="1"/>
        <name val="Calibri"/>
        <scheme val="minor"/>
      </font>
      <numFmt numFmtId="165" formatCode="_(* #,##0_);_(* \(#,##0\);_(* &quot;-&quot;??_);_(@_)"/>
      <alignment horizontal="center" vertical="center" textRotation="0" wrapText="0" indent="0" justifyLastLine="0" shrinkToFit="0" readingOrder="0"/>
      <border diagonalUp="0" diagonalDown="0" outline="0">
        <left/>
        <right style="thin">
          <color indexed="64"/>
        </right>
        <top style="thin">
          <color indexed="64"/>
        </top>
        <bottom style="thin">
          <color indexed="64"/>
        </bottom>
      </border>
      <protection locked="1" hidden="0"/>
    </dxf>
    <dxf>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right/>
        <top style="thin">
          <color indexed="64"/>
        </top>
        <bottom style="thin">
          <color indexed="64"/>
        </bottom>
        <vertical/>
        <horizontal/>
      </border>
      <protection locked="1" hidden="0"/>
    </dxf>
    <dxf>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border>
    </dxf>
    <dxf>
      <font>
        <b val="0"/>
        <i val="0"/>
        <strike val="0"/>
        <condense val="0"/>
        <extend val="0"/>
        <outline val="0"/>
        <shadow val="0"/>
        <u val="none"/>
        <vertAlign val="baseline"/>
        <sz val="11"/>
        <color theme="1"/>
        <name val="Calibri"/>
        <scheme val="minor"/>
      </font>
      <numFmt numFmtId="165" formatCode="_(* #,##0_);_(* \(#,##0\);_(* &quot;-&quot;??_);_(@_)"/>
      <alignment horizontal="general" vertical="center" textRotation="0" wrapText="0" indent="0" justifyLastLine="0" shrinkToFit="0" readingOrder="0"/>
      <border diagonalUp="0" diagonalDown="0">
        <left/>
        <right/>
        <top style="thin">
          <color indexed="64"/>
        </top>
        <bottom style="thin">
          <color indexed="64"/>
        </bottom>
        <vertical/>
        <horizontal/>
      </border>
      <protection locked="1" hidden="0"/>
    </dxf>
    <dxf>
      <fill>
        <patternFill patternType="solid">
          <fgColor indexed="64"/>
          <bgColor theme="0" tint="-0.249977111117893"/>
        </patternFill>
      </fill>
      <alignment horizontal="general" vertical="center" textRotation="0" wrapText="1" indent="0" justifyLastLine="0" shrinkToFit="0" readingOrder="0"/>
      <border diagonalUp="0" diagonalDown="0" outline="0">
        <left style="thin">
          <color indexed="64"/>
        </left>
        <right style="thin">
          <color indexed="64"/>
        </right>
        <top style="medium">
          <color indexed="64"/>
        </top>
        <bottom/>
      </border>
    </dxf>
    <dxf>
      <font>
        <strike val="0"/>
        <outline val="0"/>
        <shadow val="0"/>
        <u val="none"/>
        <vertAlign val="baseline"/>
        <color theme="1"/>
        <name val="Calibri"/>
        <scheme val="minor"/>
      </font>
      <numFmt numFmtId="165" formatCode="_(* #,##0_);_(* \(#,##0\);_(* &quot;-&quot;??_);_(@_)"/>
      <alignment horizontal="general" vertical="center" textRotation="0" wrapText="0" indent="0" justifyLastLine="0" shrinkToFit="0" readingOrder="0"/>
      <border diagonalUp="0" diagonalDown="0">
        <left/>
        <right/>
        <top style="thin">
          <color indexed="64"/>
        </top>
        <bottom style="thin">
          <color indexed="64"/>
        </bottom>
        <vertical/>
        <horizontal style="thin">
          <color indexed="64"/>
        </horizontal>
      </border>
      <protection locked="1" hidden="0"/>
    </dxf>
    <dxf>
      <border>
        <top style="medium">
          <color indexed="64"/>
        </top>
      </border>
    </dxf>
    <dxf>
      <font>
        <strike val="0"/>
        <outline val="0"/>
        <shadow val="0"/>
        <u val="none"/>
        <vertAlign val="baseline"/>
        <color theme="1"/>
        <name val="Calibri"/>
        <scheme val="minor"/>
      </font>
      <border diagonalUp="0" diagonalDown="0" outline="0">
        <left style="thin">
          <color indexed="64"/>
        </left>
        <right style="thin">
          <color indexed="64"/>
        </right>
        <top/>
        <bottom/>
      </border>
    </dxf>
    <dxf>
      <border outline="0">
        <right style="medium">
          <color indexed="64"/>
        </right>
      </border>
    </dxf>
    <dxf>
      <font>
        <strike val="0"/>
        <outline val="0"/>
        <shadow val="0"/>
        <u val="none"/>
        <vertAlign val="baseline"/>
        <color theme="1"/>
        <name val="Calibri"/>
        <scheme val="minor"/>
      </font>
    </dxf>
    <dxf>
      <border>
        <bottom style="medium">
          <color indexed="64"/>
        </bottom>
      </border>
    </dxf>
    <dxf>
      <font>
        <b/>
        <i val="0"/>
        <strike val="0"/>
        <condense val="0"/>
        <extend val="0"/>
        <outline val="0"/>
        <shadow val="0"/>
        <u val="none"/>
        <vertAlign val="baseline"/>
        <sz val="11"/>
        <color theme="1"/>
        <name val="Calibri"/>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bottom/>
      </border>
    </dxf>
    <dxf>
      <fill>
        <patternFill>
          <bgColor theme="5" tint="0.59996337778862885"/>
        </patternFill>
      </fill>
    </dxf>
    <dxf>
      <fill>
        <patternFill>
          <bgColor theme="7" tint="0.59996337778862885"/>
        </patternFill>
      </fill>
    </dxf>
    <dxf>
      <fill>
        <patternFill>
          <bgColor theme="7" tint="0.79998168889431442"/>
        </patternFill>
      </fill>
    </dxf>
    <dxf>
      <fill>
        <patternFill>
          <bgColor theme="5" tint="0.59996337778862885"/>
        </patternFill>
      </fill>
    </dxf>
    <dxf>
      <font>
        <color rgb="FF9C0006"/>
      </font>
      <fill>
        <patternFill>
          <bgColor rgb="FFFFC7CE"/>
        </patternFill>
      </fill>
    </dxf>
    <dxf>
      <numFmt numFmtId="168" formatCode="[Red]_(&quot;$&quot;* \(#,##0\)"/>
    </dxf>
    <dxf>
      <font>
        <color rgb="FFFF0000"/>
      </font>
    </dxf>
    <dxf>
      <fill>
        <patternFill>
          <bgColor theme="0" tint="-0.14996795556505021"/>
        </patternFill>
      </fill>
      <border>
        <vertical/>
        <horizontal/>
      </border>
    </dxf>
    <dxf>
      <fill>
        <patternFill>
          <bgColor theme="7" tint="0.59996337778862885"/>
        </patternFill>
      </fill>
      <border>
        <right style="thin">
          <color theme="7"/>
        </right>
        <bottom style="thin">
          <color theme="7"/>
        </bottom>
        <vertical/>
        <horizontal/>
      </border>
    </dxf>
    <dxf>
      <fill>
        <patternFill>
          <bgColor theme="9" tint="0.59996337778862885"/>
        </patternFill>
      </fill>
      <border>
        <right style="thin">
          <color theme="9"/>
        </right>
        <bottom style="thin">
          <color theme="9"/>
        </bottom>
        <vertical/>
        <horizontal/>
      </border>
    </dxf>
    <dxf>
      <fill>
        <patternFill>
          <bgColor theme="7" tint="0.59996337778862885"/>
        </patternFill>
      </fill>
    </dxf>
    <dxf>
      <font>
        <color rgb="FF9C0006"/>
      </font>
      <fill>
        <patternFill>
          <bgColor rgb="FFFFC7CE"/>
        </patternFill>
      </fill>
    </dxf>
    <dxf>
      <font>
        <color rgb="FFFF0000"/>
      </font>
    </dxf>
    <dxf>
      <font>
        <color rgb="FFFF0000"/>
      </font>
    </dxf>
    <dxf>
      <font>
        <color rgb="FF9C0006"/>
      </font>
      <fill>
        <patternFill>
          <bgColor rgb="FFFFC7CE"/>
        </patternFill>
      </fill>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right style="medium">
          <color indexed="64"/>
        </right>
        <top style="medium">
          <color indexed="64"/>
        </top>
        <bottom style="medium">
          <color indexed="64"/>
        </bottom>
      </border>
    </dxf>
    <dxf>
      <font>
        <b val="0"/>
      </font>
      <border diagonalUp="0" diagonalDown="0" outline="0">
        <left/>
        <right style="medium">
          <color indexed="64"/>
        </right>
        <top style="medium">
          <color auto="1"/>
        </top>
        <bottom style="medium">
          <color auto="1"/>
        </bottom>
      </border>
      <protection locked="0" hidden="0"/>
    </dxf>
    <dxf>
      <font>
        <b/>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indexed="64"/>
          <bgColor theme="0" tint="-0.249977111117893"/>
        </patternFill>
      </fill>
      <alignment horizontal="center" vertical="center" textRotation="0" wrapText="1" indent="0" justifyLastLine="0" shrinkToFit="0" readingOrder="0"/>
      <border diagonalUp="0" diagonalDown="0" outline="0">
        <left style="medium">
          <color theme="5"/>
        </left>
        <right style="medium">
          <color theme="5"/>
        </right>
        <top style="medium">
          <color indexed="64"/>
        </top>
        <bottom style="medium">
          <color indexed="64"/>
        </bottom>
      </border>
    </dxf>
    <dxf>
      <font>
        <b val="0"/>
      </font>
      <numFmt numFmtId="164" formatCode="_(&quot;$&quot;* #,##0_);_(&quot;$&quot;* \(#,##0\);_(&quot;$&quot;* &quot;-&quot;??_);_(@_)"/>
      <border diagonalUp="0" diagonalDown="0" outline="0">
        <left/>
        <right/>
        <top style="medium">
          <color auto="1"/>
        </top>
        <bottom style="medium">
          <color auto="1"/>
        </bottom>
      </border>
      <protection locked="1" hidden="0"/>
    </dxf>
    <dxf>
      <font>
        <b/>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4" formatCode="_(&quot;$&quot;* #,##0_);_(&quot;$&quot;* \(#,##0\);_(&quot;$&quot;* &quot;-&quot;??_);_(@_)"/>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numFmt numFmtId="164" formatCode="_(&quot;$&quot;* #,##0_);_(&quot;$&quot;* \(#,##0\);_(&quot;$&quot;* &quot;-&quot;??_);_(@_)"/>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164" formatCode="_(&quot;$&quot;* #,##0_);_(&quot;$&quot;* \(#,##0\);_(&quot;$&quot;* &quot;-&quot;??_);_(@_)"/>
      <alignment horizontal="center" vertical="center" textRotation="0" wrapText="1" indent="0" justifyLastLine="0" shrinkToFit="0" readingOrder="0"/>
      <border diagonalUp="0" diagonalDown="0" outline="0">
        <left/>
        <right/>
        <top style="thin">
          <color indexed="64"/>
        </top>
        <bottom style="thin">
          <color indexed="64"/>
        </bottom>
      </border>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thin">
          <color indexed="64"/>
        </left>
        <right style="thin">
          <color indexed="64"/>
        </right>
        <top style="medium">
          <color indexed="64"/>
        </top>
        <bottom style="medium">
          <color indexed="64"/>
        </bottom>
      </border>
    </dxf>
    <dxf>
      <font>
        <b val="0"/>
      </font>
      <protection locked="0" hidden="0"/>
    </dxf>
    <dxf>
      <font>
        <b/>
        <i val="0"/>
        <strike val="0"/>
        <condense val="0"/>
        <extend val="0"/>
        <outline val="0"/>
        <shadow val="0"/>
        <u val="none"/>
        <vertAlign val="baseline"/>
        <sz val="11"/>
        <color theme="1"/>
        <name val="Calibri"/>
        <family val="2"/>
        <scheme val="minor"/>
      </font>
      <fill>
        <patternFill patternType="solid">
          <fgColor indexed="64"/>
          <bgColor theme="0" tint="-0.249977111117893"/>
        </patternFill>
      </fill>
      <alignment horizontal="center" vertical="center" textRotation="0" wrapText="1" indent="0" justifyLastLine="0" shrinkToFit="0" readingOrder="0"/>
      <border diagonalUp="0" diagonalDown="0" outline="0">
        <left style="medium">
          <color indexed="64"/>
        </left>
        <right style="thin">
          <color indexed="64"/>
        </right>
        <top style="medium">
          <color indexed="64"/>
        </top>
        <bottom style="medium">
          <color indexed="64"/>
        </bottom>
      </border>
    </dxf>
    <dxf>
      <font>
        <b val="0"/>
      </font>
      <protection locked="0" hidden="0"/>
    </dxf>
    <dxf>
      <alignment horizontal="center" vertical="center" textRotation="0" wrapText="0" indent="0" justifyLastLine="0" shrinkToFit="0" readingOrder="0"/>
      <border diagonalUp="0" diagonalDown="0" outline="0">
        <left style="medium">
          <color indexed="64"/>
        </left>
        <right/>
        <top style="medium">
          <color indexed="64"/>
        </top>
        <bottom style="medium">
          <color indexed="64"/>
        </bottom>
      </border>
    </dxf>
    <dxf>
      <font>
        <b val="0"/>
        <i val="0"/>
        <strike val="0"/>
        <condense val="0"/>
        <extend val="0"/>
        <outline val="0"/>
        <shadow val="0"/>
        <u val="none"/>
        <vertAlign val="baseline"/>
        <sz val="11"/>
        <color theme="1"/>
        <name val="Calibri"/>
        <scheme val="minor"/>
      </font>
      <numFmt numFmtId="0" formatCode="General"/>
      <alignment horizontal="center" vertical="bottom" textRotation="0" wrapText="0" indent="0" justifyLastLine="0" shrinkToFit="0" readingOrder="0"/>
      <border diagonalUp="0" diagonalDown="0" outline="0">
        <left style="medium">
          <color indexed="64"/>
        </left>
        <right/>
        <top style="thin">
          <color indexed="64"/>
        </top>
        <bottom style="thin">
          <color indexed="64"/>
        </bottom>
      </border>
    </dxf>
    <dxf>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i val="0"/>
        <strike val="0"/>
        <condense val="0"/>
        <extend val="0"/>
        <outline val="0"/>
        <shadow val="0"/>
        <u val="none"/>
        <vertAlign val="baseline"/>
        <sz val="11"/>
        <color theme="1"/>
        <name val="Calibri"/>
        <family val="2"/>
        <scheme val="minor"/>
      </font>
      <numFmt numFmtId="0" formatCode="General"/>
      <alignment horizontal="center" vertical="center" textRotation="0" wrapText="1"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dxf>
    <dxf>
      <alignment horizontal="center" vertical="center" textRotation="0" wrapText="0" indent="0" justifyLastLine="0" shrinkToFit="0" readingOrder="0"/>
      <border diagonalUp="0" diagonalDown="0" outline="0">
        <left style="thin">
          <color indexed="64"/>
        </left>
        <right style="thin">
          <color indexed="64"/>
        </right>
        <top style="medium">
          <color indexed="64"/>
        </top>
        <bottom/>
      </border>
    </dxf>
    <dxf>
      <font>
        <b/>
        <i val="0"/>
        <strike val="0"/>
        <condense val="0"/>
        <extend val="0"/>
        <outline val="0"/>
        <shadow val="0"/>
        <u val="none"/>
        <vertAlign val="baseline"/>
        <sz val="11"/>
        <color theme="1"/>
        <name val="Calibri"/>
        <scheme val="minor"/>
      </font>
      <numFmt numFmtId="0" formatCode="General"/>
      <alignment horizontal="center" vertical="center" textRotation="0" wrapText="1" indent="0" justifyLastLine="0" shrinkToFit="0" readingOrder="0"/>
    </dxf>
    <dxf>
      <border>
        <top style="medium">
          <color indexed="64"/>
        </top>
      </border>
    </dxf>
    <dxf>
      <alignment horizontal="center" vertical="center" textRotation="0" indent="0" justifyLastLine="0" shrinkToFit="0" readingOrder="0"/>
      <border diagonalUp="0" diagonalDown="0">
        <left style="thin">
          <color indexed="64"/>
        </left>
        <right style="thin">
          <color indexed="64"/>
        </right>
        <top/>
        <bottom/>
        <vertical style="thin">
          <color indexed="64"/>
        </vertical>
        <horizontal/>
      </border>
    </dxf>
    <dxf>
      <border outline="0">
        <right style="medium">
          <color indexed="64"/>
        </right>
      </border>
    </dxf>
    <dxf>
      <font>
        <b/>
        <i val="0"/>
        <strike val="0"/>
        <condense val="0"/>
        <extend val="0"/>
        <outline val="0"/>
        <shadow val="0"/>
        <u val="none"/>
        <vertAlign val="baseline"/>
        <sz val="11"/>
        <color theme="1"/>
        <name val="Calibri"/>
        <scheme val="minor"/>
      </font>
      <alignment horizontal="center" vertical="center" textRotation="0" wrapText="1" indent="0" justifyLastLine="0" shrinkToFit="0" readingOrder="0"/>
    </dxf>
    <dxf>
      <border>
        <bottom style="medium">
          <color indexed="64"/>
        </bottom>
      </border>
    </dxf>
    <dxf>
      <font>
        <b/>
        <i val="0"/>
        <strike val="0"/>
        <condense val="0"/>
        <extend val="0"/>
        <outline val="0"/>
        <shadow val="0"/>
        <u val="none"/>
        <vertAlign val="baseline"/>
        <sz val="11"/>
        <color auto="1"/>
        <name val="Calibri"/>
        <scheme val="minor"/>
      </font>
      <alignment horizontal="center" vertical="center" textRotation="0" wrapText="1" indent="0" justifyLastLine="0" shrinkToFit="0" readingOrder="0"/>
      <border diagonalUp="0" diagonalDown="0">
        <left style="thin">
          <color indexed="64"/>
        </left>
        <right style="thin">
          <color indexed="64"/>
        </right>
        <top/>
        <bottom/>
        <vertical style="thin">
          <color indexed="64"/>
        </vertical>
        <horizontal/>
      </border>
    </dxf>
    <dxf>
      <fill>
        <patternFill>
          <bgColor theme="7" tint="0.59996337778862885"/>
        </patternFill>
      </fill>
    </dxf>
    <dxf>
      <fill>
        <patternFill>
          <bgColor theme="7" tint="0.79998168889431442"/>
        </patternFill>
      </fill>
    </dxf>
    <dxf>
      <fill>
        <patternFill>
          <bgColor theme="7" tint="0.59996337778862885"/>
        </patternFill>
      </fill>
    </dxf>
    <dxf>
      <fill>
        <patternFill>
          <bgColor theme="7" tint="0.59996337778862885"/>
        </patternFill>
      </fill>
    </dxf>
    <dxf>
      <fill>
        <patternFill>
          <bgColor theme="7" tint="0.59996337778862885"/>
        </patternFill>
      </fill>
    </dxf>
    <dxf>
      <fill>
        <patternFill>
          <bgColor theme="7" tint="0.59996337778862885"/>
        </patternFill>
      </fill>
    </dxf>
    <dxf>
      <border diagonalUp="0" diagonalDown="0">
        <left style="thin">
          <color indexed="64"/>
        </left>
        <right style="medium">
          <color indexed="64"/>
        </right>
        <top style="thin">
          <color indexed="64"/>
        </top>
        <bottom style="thin">
          <color indexed="64"/>
        </bottom>
        <vertical style="thin">
          <color indexed="64"/>
        </vertical>
        <horizontal style="thin">
          <color indexed="64"/>
        </horizontal>
      </border>
    </dxf>
    <dxf>
      <border diagonalUp="0" diagonalDown="0">
        <left style="medium">
          <color indexed="64"/>
        </left>
        <right style="thin">
          <color indexed="64"/>
        </right>
        <top style="thin">
          <color indexed="64"/>
        </top>
        <bottom style="thin">
          <color indexed="64"/>
        </bottom>
        <vertical style="thin">
          <color indexed="64"/>
        </vertical>
        <horizontal style="thin">
          <color indexed="64"/>
        </horizontal>
      </border>
    </dxf>
    <dxf>
      <alignment vertical="center" textRotation="0" wrapText="0" indent="0" justifyLastLine="0" shrinkToFit="0" readingOrder="0"/>
    </dxf>
    <dxf>
      <font>
        <b/>
      </font>
    </dxf>
    <dxf>
      <fill>
        <patternFill>
          <bgColor theme="4" tint="0.59996337778862885"/>
        </patternFill>
      </fill>
    </dxf>
    <dxf>
      <fill>
        <patternFill>
          <bgColor theme="4" tint="0.59996337778862885"/>
        </patternFill>
      </fill>
    </dxf>
    <dxf>
      <fill>
        <patternFill>
          <bgColor theme="7" tint="0.59996337778862885"/>
        </patternFill>
      </fill>
    </dxf>
  </dxfs>
  <tableStyles count="0" defaultTableStyle="TableStyleMedium2" defaultPivotStyle="PivotStyleLight16"/>
  <colors>
    <mruColors>
      <color rgb="FFFFCCCC"/>
      <color rgb="FFCCCCFF"/>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ustomXml" Target="../customXml/item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HSP_Info" displayName="HSP_Info" ref="B4:D16" totalsRowShown="0" headerRowDxfId="200">
  <autoFilter ref="B4:D16" xr:uid="{00000000-0009-0000-0100-000001000000}">
    <filterColumn colId="0" hiddenButton="1"/>
    <filterColumn colId="1" hiddenButton="1"/>
    <filterColumn colId="2" hiddenButton="1"/>
  </autoFilter>
  <tableColumns count="3">
    <tableColumn id="1" xr3:uid="{00000000-0010-0000-0000-000001000000}" name="Index" dataDxfId="199"/>
    <tableColumn id="2" xr3:uid="{00000000-0010-0000-0000-000002000000}" name="Description" dataDxfId="198"/>
    <tableColumn id="3" xr3:uid="{00000000-0010-0000-0000-000003000000}" name="Details" dataDxfId="19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1000000}" name="Surplus" displayName="Surplus" ref="B9:L20" totalsRowCount="1" headerRowDxfId="190" dataDxfId="188" totalsRowDxfId="186" headerRowBorderDxfId="189" tableBorderDxfId="187" totalsRowBorderDxfId="185">
  <autoFilter ref="B9:L19" xr:uid="{00000000-0009-0000-0100-000003000000}">
    <filterColumn colId="0" hiddenButton="1"/>
    <filterColumn colId="2" hiddenButton="1"/>
    <filterColumn colId="4" hiddenButton="1"/>
    <filterColumn colId="5" hiddenButton="1"/>
    <filterColumn colId="6" hiddenButton="1"/>
    <filterColumn colId="7" hiddenButton="1"/>
    <filterColumn colId="8" hiddenButton="1"/>
    <filterColumn colId="9" hiddenButton="1"/>
    <filterColumn colId="10" hiddenButton="1"/>
  </autoFilter>
  <tableColumns count="11">
    <tableColumn id="5" xr3:uid="{00000000-0010-0000-0100-000005000000}" name="Add to Recoveries" totalsRowFunction="countNums" dataDxfId="184" totalsRowDxfId="183">
      <calculatedColumnFormula>IF(AND(Surplus[[#This Row],[Surplus]]&lt;&gt;0,COUNTIFS(Surplus[TPBE],Surplus[[#This Row],[TPBE]],Surplus[Functional Centre],Surplus[[#This Row],[Functional Centre]],Surplus[Index],"&lt;"&amp;Surplus[[#This Row],[Index]])=0),Surplus[[#This Row],[Index]],"")</calculatedColumnFormula>
    </tableColumn>
    <tableColumn id="9" xr3:uid="{00000000-0010-0000-0100-000009000000}" name="Surplus TPBE" dataDxfId="182" totalsRowDxfId="181">
      <calculatedColumnFormula>IF(AND(Surplus[[#This Row],[Surplus]]&lt;&gt;0,COUNTBLANK(Surplus[[#This Row],[TPBE]:[Functional Centre]])=0),Surplus[[#This Row],[Index]],"")</calculatedColumnFormula>
    </tableColumn>
    <tableColumn id="11" xr3:uid="{5A9B6635-A9ED-49E1-A84D-B7DB32F21DD4}" name="Surplus Drop-Down" dataDxfId="180" totalsRowDxfId="179">
      <calculatedColumnFormula>IF(AND(Surplus[[#This Row],[Surplus]]&lt;&gt;0,COUNTBLANK(Surplus[[#This Row],[TPBE]:[Functional Centre]])=0,_xlfn.IFNA(INDEX(TPBE[Group Type],MATCH(Surplus[[#This Row],[TPBE]],TPBE[TPBE],0)),0)=1),Surplus[[#This Row],[Index]],"")</calculatedColumnFormula>
    </tableColumn>
    <tableColumn id="10" xr3:uid="{00000000-0010-0000-0100-00000A000000}" name="Sector" dataDxfId="178" totalsRowDxfId="177">
      <calculatedColumnFormula>IF(Surplus[[#This Row],[Surplus]]&lt;=0,"",_xlfn.IFNA(INDEX(TPBE[Group],MATCH(Surplus[[#This Row],[TPBE]],TPBE[TPBE],0)),""))</calculatedColumnFormula>
    </tableColumn>
    <tableColumn id="1" xr3:uid="{00000000-0010-0000-0100-000001000000}" name="Index" totalsRowFunction="countNums" dataDxfId="176" totalsRowDxfId="175">
      <calculatedColumnFormula>ROW()-ROW(Surplus[[#Headers],[Index]])</calculatedColumnFormula>
    </tableColumn>
    <tableColumn id="2" xr3:uid="{00000000-0010-0000-0100-000002000000}" name="TPBE" totalsRowLabel="Total Forecasted Surplus" dataDxfId="174" totalsRowDxfId="173"/>
    <tableColumn id="3" xr3:uid="{00000000-0010-0000-0100-000003000000}" name="Functional Centre" dataDxfId="172" totalsRowDxfId="171"/>
    <tableColumn id="8" xr3:uid="{00000000-0010-0000-0100-000008000000}" name="Forecasted Surplus" totalsRowFunction="sum" dataDxfId="170" totalsRowDxfId="169" dataCellStyle="Currency"/>
    <tableColumn id="6" xr3:uid="{00000000-0010-0000-0100-000006000000}" name="Restricted" totalsRowFunction="sum" dataDxfId="168" totalsRowDxfId="167" dataCellStyle="Currency"/>
    <tableColumn id="4" xr3:uid="{00000000-0010-0000-0100-000004000000}" name="Surplus" totalsRowFunction="sum" dataDxfId="166" totalsRowDxfId="165" dataCellStyle="Currency">
      <calculatedColumnFormula>Surplus[[#This Row],[Forecasted Surplus]]-Surplus[[#This Row],[Restricted]]</calculatedColumnFormula>
    </tableColumn>
    <tableColumn id="7" xr3:uid="{00000000-0010-0000-0100-000007000000}" name="Description" dataDxfId="164" totalsRowDxfId="163"/>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2000000}" name="Requests" displayName="Requests" ref="G12:AE29" totalsRowCount="1" headerRowDxfId="147" dataDxfId="145" totalsRowDxfId="143" headerRowBorderDxfId="146" tableBorderDxfId="144" totalsRowBorderDxfId="142">
  <autoFilter ref="G12:AE28" xr:uid="{00000000-0009-0000-0100-000002000000}"/>
  <tableColumns count="25">
    <tableColumn id="25" xr3:uid="{00000000-0010-0000-0200-000019000000}" name="Sector" dataDxfId="141" totalsRowDxfId="140" dataCellStyle="Comma">
      <calculatedColumnFormula>_xlfn.IFNA(INDEX(TPBE[Group],MATCH(Requests[[#This Row],[TPBE]],TPBE[TPBE],0)),"")</calculatedColumnFormula>
    </tableColumn>
    <tableColumn id="22" xr3:uid="{00000000-0010-0000-0200-000016000000}" name="Column1" dataDxfId="139" totalsRowDxfId="138" dataCellStyle="Comma">
      <calculatedColumnFormula>SUMIFS(Surplus[Surplus],Surplus[TPBE],Requests[[#This Row],[TPBE]])</calculatedColumnFormula>
    </tableColumn>
    <tableColumn id="23" xr3:uid="{00000000-0010-0000-0200-000017000000}" name="Column2" dataDxfId="137" totalsRowDxfId="136" dataCellStyle="Comma">
      <calculatedColumnFormula>SUMIFS(Requests[Adj. Amount],Requests[Adj. Amount],"&gt;0",Requests[TPBE],Requests[[#This Row],[TPBE]])</calculatedColumnFormula>
    </tableColumn>
    <tableColumn id="24" xr3:uid="{00000000-0010-0000-0200-000018000000}" name="Check TPBE Group Surplus" dataDxfId="135" totalsRowDxfId="134" dataCellStyle="Comma">
      <calculatedColumnFormula>SUMIFS(Requests[Adj. Amount],Requests[Adj. Amount],"&gt;0",Requests[Sector],Requests[[#This Row],[Sector]],Requests[Sector],"&lt;&gt;")&lt;=SUMIFS(Surplus[Surplus],Surplus[Sector],Requests[[#This Row],[Sector]])</calculatedColumnFormula>
    </tableColumn>
    <tableColumn id="1" xr3:uid="{00000000-0010-0000-0200-000001000000}" name="Index" dataDxfId="133" totalsRowDxfId="132" dataCellStyle="Comma">
      <calculatedColumnFormula>ROW()-ROW(Requests[[#Headers],[Index]])</calculatedColumnFormula>
    </tableColumn>
    <tableColumn id="20" xr3:uid="{00000000-0010-0000-0200-000014000000}" name="Reallocation Type" dataDxfId="131" totalsRowDxfId="130" dataCellStyle="Comma"/>
    <tableColumn id="2" xr3:uid="{00000000-0010-0000-0200-000002000000}" name="TPBE" dataDxfId="129" totalsRowDxfId="128"/>
    <tableColumn id="3" xr3:uid="{00000000-0010-0000-0200-000003000000}" name="FC" dataDxfId="127" totalsRowDxfId="126"/>
    <tableColumn id="4" xr3:uid="{00000000-0010-0000-0200-000004000000}" name="Description" dataDxfId="125" totalsRowDxfId="124"/>
    <tableColumn id="6" xr3:uid="{00000000-0010-0000-0200-000006000000}" name="Rationale" totalsRowLabel="Total Amount Reallocated" dataDxfId="123" totalsRowDxfId="122"/>
    <tableColumn id="5" xr3:uid="{00000000-0010-0000-0200-000005000000}" name="Amount" totalsRowFunction="custom" dataDxfId="121" totalsRowDxfId="120" dataCellStyle="Currency">
      <totalsRowFormula>SUMIFS(Requests[Adj. Amount],Requests[Adj. Amount],"&gt;0")</totalsRowFormula>
    </tableColumn>
    <tableColumn id="21" xr3:uid="{00000000-0010-0000-0200-000015000000}" name="Adj. Amount" dataDxfId="119" totalsRowDxfId="118" dataCellStyle="Currency">
      <calculatedColumnFormula>CHOOSE(_xlfn.IFNA(MATCH(Requests[[#This Row],[Reallocation Type]],{"From","To"},0),2),-1,1)*ABS(Requests[[#This Row],[Amount]])</calculatedColumnFormula>
    </tableColumn>
    <tableColumn id="7" xr3:uid="{00000000-0010-0000-0200-000007000000}" name="FTE" totalsRowFunction="sum" dataDxfId="117" totalsRowDxfId="116" dataCellStyle="Comma"/>
    <tableColumn id="8" xr3:uid="{00000000-0010-0000-0200-000008000000}" name="Visits " totalsRowFunction="sum" dataDxfId="115" totalsRowDxfId="114" dataCellStyle="Comma"/>
    <tableColumn id="9" xr3:uid="{00000000-0010-0000-0200-000009000000}" name="NUISRI" totalsRowFunction="sum" dataDxfId="113" totalsRowDxfId="112" dataCellStyle="Comma"/>
    <tableColumn id="10" xr3:uid="{00000000-0010-0000-0200-00000A000000}" name="HoC" totalsRowFunction="sum" dataDxfId="111" totalsRowDxfId="110" dataCellStyle="Comma"/>
    <tableColumn id="11" xr3:uid="{00000000-0010-0000-0200-00000B000000}" name="Inpatient" totalsRowFunction="sum" dataDxfId="109" totalsRowDxfId="108" dataCellStyle="Comma"/>
    <tableColumn id="12" xr3:uid="{00000000-0010-0000-0200-00000C000000}" name="IS" totalsRowFunction="sum" dataDxfId="107" totalsRowDxfId="106" dataCellStyle="Comma"/>
    <tableColumn id="13" xr3:uid="{00000000-0010-0000-0200-00000D000000}" name="AD" totalsRowFunction="sum" dataDxfId="105" totalsRowDxfId="104" dataCellStyle="Comma"/>
    <tableColumn id="14" xr3:uid="{00000000-0010-0000-0200-00000E000000}" name="GS" totalsRowFunction="sum" dataDxfId="103" totalsRowDxfId="102" dataCellStyle="Comma"/>
    <tableColumn id="15" xr3:uid="{00000000-0010-0000-0200-00000F000000}" name="MD-C" totalsRowFunction="sum" dataDxfId="101" totalsRowDxfId="100" dataCellStyle="Comma"/>
    <tableColumn id="16" xr3:uid="{00000000-0010-0000-0200-000010000000}" name="CPA" totalsRowFunction="sum" dataDxfId="99" totalsRowDxfId="98" dataCellStyle="Comma"/>
    <tableColumn id="17" xr3:uid="{00000000-0010-0000-0200-000011000000}" name="SPI" totalsRowFunction="sum" dataDxfId="97" totalsRowDxfId="96" dataCellStyle="Comma"/>
    <tableColumn id="18" xr3:uid="{00000000-0010-0000-0200-000012000000}" name="SPGI" totalsRowFunction="sum" dataDxfId="95" totalsRowDxfId="94" dataCellStyle="Comma"/>
    <tableColumn id="19" xr3:uid="{00000000-0010-0000-0200-000013000000}" name="MHS" totalsRowFunction="sum" dataDxfId="93" totalsRowDxfId="92" dataCellStyle="Comma"/>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3000000}" name="Recoveries" displayName="Recoveries" ref="K38:AE48" totalsRowShown="0" headerRowDxfId="91" dataDxfId="90">
  <autoFilter ref="K38:AE48" xr:uid="{00000000-0009-0000-0100-000007000000}">
    <filterColumn colId="0" hiddenButton="1"/>
    <filterColumn colId="1" hiddenButton="1"/>
    <filterColumn colId="2" hiddenButton="1"/>
    <filterColumn colId="3" hiddenButton="1"/>
    <filterColumn colId="4" hiddenButton="1"/>
    <filterColumn colId="5" hiddenButton="1"/>
    <filterColumn colId="6"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6" xr3:uid="{00000000-0010-0000-0300-000006000000}" name="Lookup ID" dataDxfId="89" dataCellStyle="Comma">
      <calculatedColumnFormula>IF(COUNT(Recovery_Helper[Recovery Index])&lt;Recoveries[[#This Row],[Index]],"",SMALL(Recovery_Helper[Recovery Index],Recoveries[[#This Row],[Index]]))</calculatedColumnFormula>
    </tableColumn>
    <tableColumn id="1" xr3:uid="{00000000-0010-0000-0300-000001000000}" name="Index" dataDxfId="88" dataCellStyle="Comma">
      <calculatedColumnFormula>ROW()-ROW(Recoveries[[#Headers],[Index]])</calculatedColumnFormula>
    </tableColumn>
    <tableColumn id="2" xr3:uid="{00000000-0010-0000-0300-000002000000}" name="TPBE" dataDxfId="87">
      <calculatedColumnFormula>IF(LEN(Recoveries[[#This Row],[Lookup ID]])=0,"",INDEX(Recovery_Helper[TPBE],MATCH(Recoveries[[#This Row],[Lookup ID]],Recovery_Helper[Recovery Index],0)))</calculatedColumnFormula>
    </tableColumn>
    <tableColumn id="3" xr3:uid="{00000000-0010-0000-0300-000003000000}" name="FC" dataDxfId="86" dataCellStyle="Currency">
      <calculatedColumnFormula>IF(LEN(Recoveries[[#This Row],[Lookup ID]])=0,"",INDEX(Recovery_Helper[Functional Centre],MATCH(Recoveries[[#This Row],[Lookup ID]],Recovery_Helper[Recovery Index],0)))</calculatedColumnFormula>
    </tableColumn>
    <tableColumn id="4" xr3:uid="{00000000-0010-0000-0300-000004000000}" name="Forecasted Surplus" dataDxfId="85" dataCellStyle="Currency">
      <calculatedColumnFormula>IF(Recoveries[[#This Row],[Lookup ID]]="","",SUMIFS(Recovery_Helper[Forecasted Surplus],Recovery_Helper[TPBE],Recoveries[[#This Row],[TPBE]],Recovery_Helper[Functional Centre],Recoveries[[#This Row],[FC]]))</calculatedColumnFormula>
    </tableColumn>
    <tableColumn id="5" xr3:uid="{00000000-0010-0000-0300-000005000000}" name="Surplus Requested" dataDxfId="84" dataCellStyle="Currency">
      <calculatedColumnFormula>IF(Recoveries[[#This Row],[Lookup ID]]="","",SUMIFS(Recovery_Helper[Surplus Usage Request],Recovery_Helper[TPBE],Recoveries[[#This Row],[TPBE]],Recovery_Helper[Functional Centre],Recoveries[[#This Row],[FC]]))</calculatedColumnFormula>
    </tableColumn>
    <tableColumn id="7" xr3:uid="{00000000-0010-0000-0300-000007000000}" name="Recovery Amount" dataDxfId="83" dataCellStyle="Currency">
      <calculatedColumnFormula>IF(Recoveries[[#This Row],[Lookup ID]]="","",MAX(Recoveries[[#This Row],[Forecasted Surplus]]-Recoveries[[#This Row],[Surplus Requested]],0))</calculatedColumnFormula>
    </tableColumn>
    <tableColumn id="21" xr3:uid="{00000000-0010-0000-0300-000015000000}" name="Column1" dataDxfId="82" dataCellStyle="Currency"/>
    <tableColumn id="8" xr3:uid="{00000000-0010-0000-0300-000008000000}" name="FTE" dataDxfId="81" dataCellStyle="Comma"/>
    <tableColumn id="9" xr3:uid="{00000000-0010-0000-0300-000009000000}" name="Visits " dataDxfId="80" dataCellStyle="Comma"/>
    <tableColumn id="10" xr3:uid="{00000000-0010-0000-0300-00000A000000}" name="NUISRI" dataDxfId="79" dataCellStyle="Comma"/>
    <tableColumn id="11" xr3:uid="{00000000-0010-0000-0300-00000B000000}" name="HoC" dataDxfId="78" dataCellStyle="Comma"/>
    <tableColumn id="12" xr3:uid="{00000000-0010-0000-0300-00000C000000}" name="Inpatient" dataDxfId="77" dataCellStyle="Comma"/>
    <tableColumn id="13" xr3:uid="{00000000-0010-0000-0300-00000D000000}" name="IS" dataDxfId="76" dataCellStyle="Comma"/>
    <tableColumn id="14" xr3:uid="{00000000-0010-0000-0300-00000E000000}" name="AD" dataDxfId="75" dataCellStyle="Comma"/>
    <tableColumn id="15" xr3:uid="{00000000-0010-0000-0300-00000F000000}" name="GS" dataDxfId="74" dataCellStyle="Comma"/>
    <tableColumn id="16" xr3:uid="{00000000-0010-0000-0300-000010000000}" name="MD-C" dataDxfId="73" dataCellStyle="Comma"/>
    <tableColumn id="17" xr3:uid="{00000000-0010-0000-0300-000011000000}" name="CPA" dataDxfId="72" dataCellStyle="Comma"/>
    <tableColumn id="18" xr3:uid="{00000000-0010-0000-0300-000012000000}" name="SPI" dataDxfId="71" dataCellStyle="Comma"/>
    <tableColumn id="19" xr3:uid="{00000000-0010-0000-0300-000013000000}" name="SPGI" dataDxfId="70" dataCellStyle="Comma"/>
    <tableColumn id="20" xr3:uid="{00000000-0010-0000-0300-000014000000}" name="MHS" dataDxfId="69" dataCellStyle="Comma"/>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4000000}" name="Recovery_Helper" displayName="Recovery_Helper" ref="K51:U74" totalsRowShown="0" headerRowDxfId="68" dataDxfId="67">
  <autoFilter ref="K51:U74" xr:uid="{00000000-0009-0000-0100-00000A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autoFilter>
  <sortState xmlns:xlrd2="http://schemas.microsoft.com/office/spreadsheetml/2017/richdata2" ref="M39:R51">
    <sortCondition ref="M38:M51"/>
  </sortState>
  <tableColumns count="11">
    <tableColumn id="8" xr3:uid="{00000000-0010-0000-0400-000008000000}" name="Check Line" dataDxfId="66" dataCellStyle="Currency">
      <calculatedColumnFormula>Recovery_Helper[[#This Row],[Index]]&lt;=Count_Recoveries_New</calculatedColumnFormula>
    </tableColumn>
    <tableColumn id="1" xr3:uid="{00000000-0010-0000-0400-000001000000}" name="Index" dataDxfId="65">
      <calculatedColumnFormula>ROW()-ROW(Recovery_Helper[[#Headers],[Index]])</calculatedColumnFormula>
    </tableColumn>
    <tableColumn id="2" xr3:uid="{00000000-0010-0000-0400-000002000000}" name="TPBE" dataDxfId="64">
      <calculatedColumnFormula>IF(Recovery_Helper[[#This Row],[Check Line]],T(INDEX(CHOOSE(Recovery_Helper[[#This Row],[Table]],Surplus[TPBE],Requests[TPBE]),Recovery_Helper[[#This Row],[Table Unique Index]])),"")</calculatedColumnFormula>
    </tableColumn>
    <tableColumn id="7" xr3:uid="{00000000-0010-0000-0400-000007000000}" name="Functional Centre" dataDxfId="63">
      <calculatedColumnFormula>IF(Recovery_Helper[[#This Row],[Check Line]],T(INDEX(CHOOSE(Recovery_Helper[[#This Row],[Table]],Surplus[Functional Centre],Requests[FC]),Recovery_Helper[[#This Row],[Table Unique Index]])),"")</calculatedColumnFormula>
    </tableColumn>
    <tableColumn id="3" xr3:uid="{00000000-0010-0000-0400-000003000000}" name="Forecasted Surplus" dataDxfId="62" dataCellStyle="Currency">
      <calculatedColumnFormula>SUMIFS(Surplus[Surplus],Surplus[TPBE],Recovery_Helper[[#This Row],[TPBE]],Surplus[Functional Centre],Recovery_Helper[[#This Row],[Functional Centre]])</calculatedColumnFormula>
    </tableColumn>
    <tableColumn id="4" xr3:uid="{00000000-0010-0000-0400-000004000000}" name="Surplus Usage Request" dataDxfId="61" dataCellStyle="Currency">
      <calculatedColumnFormula>IF(Recovery_Helper[[#This Row],[Check Line]],IF(COUNTBLANK(Recovery_Helper[[#This Row],[TPBE]:[Functional Centre]])=0,-1*SUMIFS(Requests[Adj. Amount],Requests[TPBE],Recovery_Helper[[#This Row],[TPBE]],Requests[FC],Recovery_Helper[[#This Row],[Functional Centre]],Requests[Adj. Amount],"&lt;0"),0),0)</calculatedColumnFormula>
    </tableColumn>
    <tableColumn id="5" xr3:uid="{00000000-0010-0000-0400-000005000000}" name="Amount to Recover" dataDxfId="60" dataCellStyle="Currency">
      <calculatedColumnFormula>Recovery_Helper[[#This Row],[Forecasted Surplus]]-Recovery_Helper[[#This Row],[Surplus Usage Request]]</calculatedColumnFormula>
    </tableColumn>
    <tableColumn id="6" xr3:uid="{00000000-0010-0000-0400-000006000000}" name="Recovery Index" dataDxfId="59" dataCellStyle="Currency">
      <calculatedColumnFormula>IF(Recovery_Helper[[#This Row],[Check Line]],Recovery_Helper[[#This Row],[Index]],"")</calculatedColumnFormula>
    </tableColumn>
    <tableColumn id="9" xr3:uid="{00000000-0010-0000-0400-000009000000}" name="Table" dataDxfId="58" dataCellStyle="Comma">
      <calculatedColumnFormula>IF(Recovery_Helper[[#This Row],[Check Line]],IF(Recovery_Helper[[#This Row],[Index]]&lt;=Surplus[[#Totals],[Add to Recoveries]],1,2),"")</calculatedColumnFormula>
    </tableColumn>
    <tableColumn id="11" xr3:uid="{00000000-0010-0000-0400-00000B000000}" name="Table Index" dataDxfId="57" dataCellStyle="Comma">
      <calculatedColumnFormula>IF(Recovery_Helper[[#This Row],[Check Line]],COUNTIFS(Recovery_Helper[Table],Recovery_Helper[[#This Row],[Table]],Recovery_Helper[Index],"&lt;="&amp;Recovery_Helper[[#This Row],[Index]]),"")</calculatedColumnFormula>
    </tableColumn>
    <tableColumn id="10" xr3:uid="{00000000-0010-0000-0400-00000A000000}" name="Table Unique Index" dataDxfId="56" dataCellStyle="Comma">
      <calculatedColumnFormula>IF(Recovery_Helper[[#This Row],[Check Line]],SMALL(CHOOSE(Recovery_Helper[[#This Row],[Table]],Surplus[Add to Recoveries],Requests[Reallocation Type]),Recovery_Helper[[#This Row],[Table Index]]),"")</calculatedColumnFormula>
    </tableColumn>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5000000}" name="TPBE_Surplus" displayName="TPBE_Surplus" ref="B12:E20" totalsRowCount="1" headerRowDxfId="55" dataDxfId="54" totalsRowDxfId="53" totalsRowBorderDxfId="52">
  <autoFilter ref="B12:E19" xr:uid="{00000000-0009-0000-0100-00000C000000}">
    <filterColumn colId="0" hiddenButton="1"/>
    <filterColumn colId="1" hiddenButton="1"/>
    <filterColumn colId="2" hiddenButton="1"/>
    <filterColumn colId="3" hiddenButton="1"/>
  </autoFilter>
  <sortState xmlns:xlrd2="http://schemas.microsoft.com/office/spreadsheetml/2017/richdata2" ref="B13:E19">
    <sortCondition ref="B14:B19"/>
  </sortState>
  <tableColumns count="4">
    <tableColumn id="1" xr3:uid="{00000000-0010-0000-0500-000001000000}" name="Sector" totalsRowLabel="Total" dataDxfId="51" totalsRowDxfId="50"/>
    <tableColumn id="2" xr3:uid="{00000000-0010-0000-0500-000002000000}" name="FC Surplus" totalsRowFunction="sum" dataDxfId="49" totalsRowDxfId="48" dataCellStyle="Currency">
      <calculatedColumnFormula>SUMIFS(Surplus[Surplus],Surplus[Sector],TPBE_Surplus[[#This Row],[Sector]])</calculatedColumnFormula>
    </tableColumn>
    <tableColumn id="3" xr3:uid="{00000000-0010-0000-0500-000003000000}" name="Reallocated" totalsRowFunction="sum" dataDxfId="47" totalsRowDxfId="46" dataCellStyle="Currency">
      <calculatedColumnFormula>SUMIFS(Requests[Adj. Amount],Requests[Sector],TPBE_Surplus[[#This Row],[Sector]],Requests[Adj. Amount],"&gt;0")</calculatedColumnFormula>
    </tableColumn>
    <tableColumn id="4" xr3:uid="{00000000-0010-0000-0500-000004000000}" name="Recovery" totalsRowFunction="sum" dataDxfId="45" totalsRowDxfId="44" dataCellStyle="Currency">
      <calculatedColumnFormula>TPBE_Surplus[[#This Row],[FC Surplus]]-TPBE_Surplus[[#This Row],[Reallocated]]</calculatedColumnFormula>
    </tableColumn>
  </tableColumns>
  <tableStyleInfo name="TableStyleMedium18"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6000000}" name="OHRS" displayName="OHRS" ref="A2:P217" totalsRowShown="0" headerRowDxfId="43">
  <autoFilter ref="A2:P217" xr:uid="{00000000-0009-0000-0100-00000800000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autoFilter>
  <tableColumns count="16">
    <tableColumn id="1" xr3:uid="{00000000-0010-0000-0600-000001000000}" name="Functional Centre Name and Number"/>
    <tableColumn id="2" xr3:uid="{00000000-0010-0000-0600-000002000000}" name="FC #"/>
    <tableColumn id="3" xr3:uid="{00000000-0010-0000-0600-000003000000}" name="Full-time equivalents (FTE)" dataDxfId="42"/>
    <tableColumn id="4" xr3:uid="{00000000-0010-0000-0600-000004000000}" name="Visits" dataDxfId="41"/>
    <tableColumn id="5" xr3:uid="{00000000-0010-0000-0600-000005000000}" name="Not Uniquely Identified Service Recipient Interactions" dataDxfId="40"/>
    <tableColumn id="6" xr3:uid="{00000000-0010-0000-0600-000006000000}" name="Hours of Care" dataDxfId="39"/>
    <tableColumn id="7" xr3:uid="{00000000-0010-0000-0600-000007000000}" name="Inpatient/Resident Days" dataDxfId="38"/>
    <tableColumn id="8" xr3:uid="{00000000-0010-0000-0600-000008000000}" name="Individuals Served by Functional Centre" dataDxfId="37"/>
    <tableColumn id="9" xr3:uid="{00000000-0010-0000-0600-000009000000}" name="Attendance Days" dataDxfId="36"/>
    <tableColumn id="10" xr3:uid="{00000000-0010-0000-0600-00000A000000}" name="Group Sessions" dataDxfId="35"/>
    <tableColumn id="11" xr3:uid="{00000000-0010-0000-0600-00000B000000}" name="Meal Delivered-Combined" dataDxfId="34"/>
    <tableColumn id="12" xr3:uid="{00000000-0010-0000-0600-00000C000000}" name="Total Cost for Functional Centre" dataDxfId="33"/>
    <tableColumn id="13" xr3:uid="{00000000-0010-0000-0600-00000D000000}" name="Group Participant Attendances" dataDxfId="32"/>
    <tableColumn id="14" xr3:uid="{00000000-0010-0000-0600-00000E000000}" name="Service Provider Interactions" dataDxfId="31"/>
    <tableColumn id="15" xr3:uid="{00000000-0010-0000-0600-00000F000000}" name="Service Provider Group Interactions" dataDxfId="30"/>
    <tableColumn id="16" xr3:uid="{00000000-0010-0000-0600-000010000000}" name="Mental Health Sessions" dataDxfId="29"/>
  </tableColumns>
  <tableStyleInfo name="TableStyleMedium18"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7000000}" name="FCs" displayName="FCs" ref="X2:Z213" totalsRowShown="0" headerRowDxfId="28">
  <autoFilter ref="X2:Z213" xr:uid="{00000000-0009-0000-0100-000004000000}"/>
  <tableColumns count="3">
    <tableColumn id="2" xr3:uid="{00000000-0010-0000-0700-000002000000}" name="FC ID"/>
    <tableColumn id="1" xr3:uid="{00000000-0010-0000-0700-000001000000}" name="FC Description"/>
    <tableColumn id="3" xr3:uid="{00000000-0010-0000-0700-000003000000}" name="Functional Centre" dataDxfId="27">
      <calculatedColumnFormula>FCs[[#This Row],[FC Description]]&amp;" "&amp;FCs[[#This Row],[FC ID]]</calculatedColumnFormula>
    </tableColumn>
  </tableColumns>
  <tableStyleInfo name="TableStyleMedium18"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8000000}" name="TPBE" displayName="TPBE" ref="A2:R17" totalsRowShown="0" headerRowDxfId="26">
  <autoFilter ref="A2:R17" xr:uid="{00000000-0009-0000-0100-000005000000}"/>
  <sortState xmlns:xlrd2="http://schemas.microsoft.com/office/spreadsheetml/2017/richdata2" ref="B3:D17">
    <sortCondition ref="B2:B17"/>
  </sortState>
  <tableColumns count="18">
    <tableColumn id="8" xr3:uid="{00000000-0010-0000-0800-000008000000}" name="Index" dataDxfId="25">
      <calculatedColumnFormula>ROW()-ROW(TPBE[[#Headers],[Index]])</calculatedColumnFormula>
    </tableColumn>
    <tableColumn id="1" xr3:uid="{00000000-0010-0000-0800-000001000000}" name="TPBE"/>
    <tableColumn id="16" xr3:uid="{28082A6F-E6C2-46E5-92CA-8610A51BE667}" name="Column1"/>
    <tableColumn id="2" xr3:uid="{00000000-0010-0000-0800-000002000000}" name="Description"/>
    <tableColumn id="3" xr3:uid="{00000000-0010-0000-0800-000003000000}" name="Group"/>
    <tableColumn id="4" xr3:uid="{00000000-0010-0000-0800-000004000000}" name="Group Num" dataDxfId="24"/>
    <tableColumn id="17" xr3:uid="{CA02BCFE-09AB-415E-A4D9-5732BA4660DD}" name="Group Type" dataDxfId="23"/>
    <tableColumn id="5" xr3:uid="{00000000-0010-0000-0800-000005000000}" name="CHC"/>
    <tableColumn id="6" xr3:uid="{00000000-0010-0000-0800-000006000000}" name="CSS"/>
    <tableColumn id="12" xr3:uid="{5AD85BB9-BC6A-4DAD-8EA0-3DF2F800A87E}" name="SH"/>
    <tableColumn id="13" xr3:uid="{079D7FB7-A031-4EB1-9E80-D9C728E7E7DD}" name="OH-HC"/>
    <tableColumn id="7" xr3:uid="{00000000-0010-0000-0800-000007000000}" name="MHA"/>
    <tableColumn id="10" xr3:uid="{00000000-0010-0000-0800-00000A000000}" name="TPBE Surplus Check" dataDxfId="22">
      <calculatedColumnFormula>IF(CHOOSE(MATCH(TPBE[[#This Row],[Group]],{"CHC","CSS","MHA","SH","OH-HC","POMS","SF"},0),Count_TPBE_CHC,Count_TPBE_CSS,Count_TPBE_MHA,Count_TPBE_SH,Count_TPBE_OHHC,Count_TPBE_POMS,Count_TPBE_SF)&gt;=1,TPBE[[#This Row],[Index]],"")</calculatedColumnFormula>
    </tableColumn>
    <tableColumn id="11" xr3:uid="{00000000-0010-0000-0800-00000B000000}" name="TPBE Surplus Index" dataDxfId="21">
      <calculatedColumnFormula>IF(TPBE[[#This Row],[Index]]&gt;COUNT(TPBE[TPBE Surplus Check]),"",SMALL(TPBE[TPBE Surplus Check],TPBE[[#This Row],[Index]]))</calculatedColumnFormula>
    </tableColumn>
    <tableColumn id="9" xr3:uid="{00000000-0010-0000-0800-000009000000}" name="TPBE Surplus List" dataDxfId="20">
      <calculatedColumnFormula>IF(TPBE[[#This Row],[Index]]&gt;COUNT(TPBE[TPBE Surplus Check]),"",INDEX(TPBE[TPBE],TPBE[[#This Row],[TPBE Surplus Index]]))</calculatedColumnFormula>
    </tableColumn>
    <tableColumn id="18" xr3:uid="{F07B6BCC-ED91-43CE-A989-300A9B2DC615}" name="TPBE Surplus Group Type" dataDxfId="19">
      <calculatedColumnFormula>IF(ISNUMBER(TPBE[[#This Row],[TPBE Surplus Index]]),INDEX(TPBE[Group Type],MATCH(TPBE[[#This Row],[TPBE Surplus List]],TPBE[TPBE],0)),"")</calculatedColumnFormula>
    </tableColumn>
    <tableColumn id="15" xr3:uid="{61E1557D-208E-4D16-93DE-DCACB48FABFC}" name="TPBE Surplus DD Index" dataDxfId="18">
      <calculatedColumnFormula>IF(TPBE[[#This Row],[Index]]&lt;=COUNTIFS(TPBE[TPBE Surplus Group Type],1),TPBE[[#This Row],[Index]],"")</calculatedColumnFormula>
    </tableColumn>
    <tableColumn id="14" xr3:uid="{56C8A44D-8791-466A-B183-A7E40DE80BA0}" name="TPBE Surplus Drop-Down" dataDxfId="17">
      <calculatedColumnFormula array="1">IF(ISNUMBER(TPBE[[#This Row],[TPBE Surplus Group Type]]),INDEX(_xlfn._xlws.FILTER(TPBE[TPBE Surplus List],NOT(ISNUMBER(MATCH(TPBE[TPBE Surplus List],{"POMS","SF"},0)))),TPBE[[#This Row],[Index]]),"")</calculatedColumnFormula>
    </tableColumn>
  </tableColumns>
  <tableStyleInfo name="TableStyleMedium18"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9000000}" name="Agencies" displayName="Agencies" ref="AC2:AH154" totalsRowShown="0" headerRowDxfId="16">
  <autoFilter ref="AC2:AH154" xr:uid="{00000000-0009-0000-0100-000006000000}"/>
  <sortState xmlns:xlrd2="http://schemas.microsoft.com/office/spreadsheetml/2017/richdata2" ref="AC2:AG153">
    <sortCondition ref="AC2:AC153"/>
    <sortCondition ref="AF2:AF153"/>
  </sortState>
  <tableColumns count="6">
    <tableColumn id="1" xr3:uid="{00000000-0010-0000-0900-000001000000}" name="LHIN"/>
    <tableColumn id="2" xr3:uid="{00000000-0010-0000-0900-000002000000}" name="Facility" dataDxfId="15"/>
    <tableColumn id="3" xr3:uid="{00000000-0010-0000-0900-000003000000}" name="Recipient" dataDxfId="14"/>
    <tableColumn id="4" xr3:uid="{00000000-0010-0000-0900-000004000000}" name="HSP Name"/>
    <tableColumn id="6" xr3:uid="{00000000-0010-0000-0900-000006000000}" name="Proper" dataDxfId="13">
      <calculatedColumnFormula>PROPER(Agencies[[#This Row],[HSP Name]])</calculatedColumnFormula>
    </tableColumn>
    <tableColumn id="5" xr3:uid="{00000000-0010-0000-0900-000005000000}" name="Acronym"/>
  </tableColumns>
  <tableStyleInfo name="TableStyleMedium18"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A000000}" name="Service_Activity" displayName="Service_Activity" ref="AJ2:AJ15" totalsRowShown="0" headerRowDxfId="12">
  <autoFilter ref="AJ2:AJ15" xr:uid="{00000000-0009-0000-0100-000009000000}"/>
  <tableColumns count="1">
    <tableColumn id="1" xr3:uid="{00000000-0010-0000-0A00-000001000000}" name="Description"/>
  </tableColumns>
  <tableStyleInfo name="TableStyleMedium18"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B000000}" name="Surplus_DD" displayName="Surplus_DD" ref="AL2:AP26" totalsRowShown="0" headerRowDxfId="11">
  <autoFilter ref="AL2:AP26" xr:uid="{00000000-0009-0000-0100-00000B000000}">
    <filterColumn colId="0" hiddenButton="1"/>
    <filterColumn colId="1" hiddenButton="1"/>
    <filterColumn colId="2" hiddenButton="1"/>
    <filterColumn colId="3" hiddenButton="1"/>
    <filterColumn colId="4" hiddenButton="1"/>
  </autoFilter>
  <tableColumns count="5">
    <tableColumn id="4" xr3:uid="{00000000-0010-0000-0B00-000004000000}" name="Index" dataDxfId="10">
      <calculatedColumnFormula>ROW()-ROW(Surplus_DD[[#Headers],[Index]])</calculatedColumnFormula>
    </tableColumn>
    <tableColumn id="5" xr3:uid="{00000000-0010-0000-0B00-000005000000}" name="Surplus Index" dataDxfId="9">
      <calculatedColumnFormula>IF(COUNTIFS(Surplus[Surplus TPBE],"&gt;=1")&lt;Surplus_DD[[#This Row],[Index]],"",SMALL(Surplus[Surplus TPBE],Surplus_DD[[#This Row],[Index]]))</calculatedColumnFormula>
    </tableColumn>
    <tableColumn id="1" xr3:uid="{00000000-0010-0000-0B00-000001000000}" name="TPBE" dataDxfId="8">
      <calculatedColumnFormula>IF(Surplus_DD[[#This Row],[Surplus Index]]="","",INDEX(Surplus[TPBE],Surplus_DD[[#This Row],[Surplus Index]]))</calculatedColumnFormula>
    </tableColumn>
    <tableColumn id="2" xr3:uid="{00000000-0010-0000-0B00-000002000000}" name="FC" dataDxfId="7">
      <calculatedColumnFormula>IF(Surplus_DD[[#This Row],[Surplus Index]]="","",INDEX(Surplus[Functional Centre],Surplus_DD[[#This Row],[Surplus Index]]))</calculatedColumnFormula>
    </tableColumn>
    <tableColumn id="3" xr3:uid="{00000000-0010-0000-0B00-000003000000}" name="Amount" dataDxfId="6" dataCellStyle="Currency">
      <calculatedColumnFormula>SUMIFS(Surplus[Surplus],Surplus[TPBE],Surplus_DD[[#This Row],[TPBE]],Surplus[Functional Centre],Surplus_DD[[#This Row],[FC]])</calculatedColumnFormula>
    </tableColumn>
  </tableColumns>
  <tableStyleInfo name="TableStyleMedium19"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AEE08466-CEAB-4210-8ACE-780AD0565583}" name="Surplus_DD_V2" displayName="Surplus_DD_V2" ref="AR2:AV26" totalsRowShown="0" headerRowDxfId="5">
  <autoFilter ref="AR2:AV26" xr:uid="{AEE08466-CEAB-4210-8ACE-780AD0565583}"/>
  <tableColumns count="5">
    <tableColumn id="4" xr3:uid="{F46D2D40-78FE-4488-947B-BBA457FC8353}" name="Index" dataDxfId="4">
      <calculatedColumnFormula>ROW()-ROW(Surplus_DD_V2[[#Headers],[Index]])</calculatedColumnFormula>
    </tableColumn>
    <tableColumn id="5" xr3:uid="{7B48FFEC-503F-41F4-8972-F61ABEF129D1}" name="Surplus Index" dataDxfId="3">
      <calculatedColumnFormula>IF(Surplus_DD_V2[[#This Row],[Index]]&gt;COUNT(Surplus[Surplus Drop-Down]),"",IF(COUNTIFS(Surplus[Surplus TPBE],"&gt;=1")&lt;Surplus_DD_V2[[#This Row],[Index]],"",SMALL(Surplus[Surplus Drop-Down],Surplus_DD_V2[[#This Row],[Index]])))</calculatedColumnFormula>
    </tableColumn>
    <tableColumn id="1" xr3:uid="{EA759139-102B-4144-8B4B-2D2F233CDCEA}" name="TPBE" dataDxfId="2">
      <calculatedColumnFormula>IF(Surplus_DD_V2[[#This Row],[Surplus Index]]="","",INDEX(Surplus[TPBE],Surplus_DD_V2[[#This Row],[Surplus Index]]))</calculatedColumnFormula>
    </tableColumn>
    <tableColumn id="2" xr3:uid="{E83CB0B0-4558-494B-900A-424E63F29714}" name="FC" dataDxfId="1">
      <calculatedColumnFormula>IF(Surplus_DD_V2[[#This Row],[Surplus Index]]="","",INDEX(Surplus[Functional Centre],Surplus_DD_V2[[#This Row],[Surplus Index]]))</calculatedColumnFormula>
    </tableColumn>
    <tableColumn id="3" xr3:uid="{C5C9A6A2-84A1-4538-88BC-010583C3A808}" name="Amount" dataDxfId="0" dataCellStyle="Currency">
      <calculatedColumnFormula>SUMIFS(Surplus[Surplus],Surplus[TPBE],Surplus_DD_V2[[#This Row],[TPBE]],Surplus[Functional Centre],Surplus_DD_V2[[#This Row],[FC]])</calculatedColumnFormula>
    </tableColumn>
  </tableColumns>
  <tableStyleInfo name="TableStyleMedium1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table" Target="../tables/table4.xml"/><Relationship Id="rId2" Type="http://schemas.openxmlformats.org/officeDocument/2006/relationships/table" Target="../tables/table3.xml"/><Relationship Id="rId1" Type="http://schemas.openxmlformats.org/officeDocument/2006/relationships/printerSettings" Target="../printerSettings/printerSettings4.bin"/><Relationship Id="rId5" Type="http://schemas.openxmlformats.org/officeDocument/2006/relationships/table" Target="../tables/table6.xml"/><Relationship Id="rId4" Type="http://schemas.openxmlformats.org/officeDocument/2006/relationships/table" Target="../tables/table5.xml"/></Relationships>
</file>

<file path=xl/worksheets/_rels/sheet5.xml.rels><?xml version="1.0" encoding="UTF-8" standalone="yes"?>
<Relationships xmlns="http://schemas.openxmlformats.org/package/2006/relationships"><Relationship Id="rId1" Type="http://schemas.openxmlformats.org/officeDocument/2006/relationships/table" Target="../tables/table7.xml"/></Relationships>
</file>

<file path=xl/worksheets/_rels/sheet6.xml.rels><?xml version="1.0" encoding="UTF-8" standalone="yes"?>
<Relationships xmlns="http://schemas.openxmlformats.org/package/2006/relationships"><Relationship Id="rId3" Type="http://schemas.openxmlformats.org/officeDocument/2006/relationships/table" Target="../tables/table10.xml"/><Relationship Id="rId2" Type="http://schemas.openxmlformats.org/officeDocument/2006/relationships/table" Target="../tables/table9.xml"/><Relationship Id="rId1" Type="http://schemas.openxmlformats.org/officeDocument/2006/relationships/table" Target="../tables/table8.xml"/><Relationship Id="rId6" Type="http://schemas.openxmlformats.org/officeDocument/2006/relationships/table" Target="../tables/table13.xml"/><Relationship Id="rId5" Type="http://schemas.openxmlformats.org/officeDocument/2006/relationships/table" Target="../tables/table12.xml"/><Relationship Id="rId4" Type="http://schemas.openxmlformats.org/officeDocument/2006/relationships/table" Target="../tables/table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A9149F-11AB-4BB2-A5A2-787B07A11C1D}">
  <sheetPr>
    <tabColor theme="4"/>
  </sheetPr>
  <dimension ref="B2:N42"/>
  <sheetViews>
    <sheetView showGridLines="0" tabSelected="1" topLeftCell="A23" workbookViewId="0">
      <selection activeCell="B31" sqref="B31"/>
    </sheetView>
  </sheetViews>
  <sheetFormatPr defaultRowHeight="15" x14ac:dyDescent="0.25"/>
  <cols>
    <col min="2" max="2" width="34.42578125" customWidth="1"/>
    <col min="3" max="3" width="9.140625" customWidth="1"/>
    <col min="4" max="4" width="30.42578125" customWidth="1"/>
    <col min="5" max="5" width="9.140625" customWidth="1"/>
  </cols>
  <sheetData>
    <row r="2" spans="2:14" ht="20.25" thickBot="1" x14ac:dyDescent="0.35">
      <c r="B2" s="4" t="s">
        <v>1343</v>
      </c>
    </row>
    <row r="3" spans="2:14" ht="35.1" customHeight="1" thickTop="1" x14ac:dyDescent="0.25">
      <c r="B3" s="233" t="s">
        <v>1370</v>
      </c>
      <c r="C3" s="233"/>
      <c r="D3" s="233"/>
      <c r="E3" s="233"/>
      <c r="F3" s="233"/>
      <c r="G3" s="233"/>
      <c r="H3" s="233"/>
      <c r="I3" s="233"/>
      <c r="J3" s="233"/>
      <c r="K3" s="233"/>
      <c r="L3" s="233"/>
      <c r="M3" s="233"/>
      <c r="N3" s="233"/>
    </row>
    <row r="4" spans="2:14" x14ac:dyDescent="0.25">
      <c r="B4" s="106"/>
    </row>
    <row r="5" spans="2:14" ht="18" thickBot="1" x14ac:dyDescent="0.35">
      <c r="B5" s="29" t="s">
        <v>1314</v>
      </c>
    </row>
    <row r="6" spans="2:14" ht="36.950000000000003" customHeight="1" thickTop="1" x14ac:dyDescent="0.25">
      <c r="B6" s="233" t="s">
        <v>1371</v>
      </c>
      <c r="C6" s="233"/>
      <c r="D6" s="233"/>
      <c r="E6" s="233"/>
      <c r="F6" s="233"/>
      <c r="G6" s="233"/>
      <c r="H6" s="233"/>
      <c r="I6" s="233"/>
      <c r="J6" s="233"/>
      <c r="K6" s="233"/>
      <c r="L6" s="233"/>
      <c r="M6" s="233"/>
      <c r="N6" s="233"/>
    </row>
    <row r="8" spans="2:14" ht="48" customHeight="1" x14ac:dyDescent="0.25">
      <c r="B8" s="233" t="s">
        <v>1372</v>
      </c>
      <c r="C8" s="233"/>
      <c r="D8" s="233"/>
      <c r="E8" s="233"/>
      <c r="F8" s="233"/>
      <c r="G8" s="233"/>
      <c r="H8" s="233"/>
      <c r="I8" s="233"/>
      <c r="J8" s="233"/>
      <c r="K8" s="233"/>
      <c r="L8" s="233"/>
      <c r="M8" s="233"/>
      <c r="N8" s="233"/>
    </row>
    <row r="9" spans="2:14" x14ac:dyDescent="0.25">
      <c r="B9" s="106"/>
    </row>
    <row r="10" spans="2:14" x14ac:dyDescent="0.25">
      <c r="B10" s="176" t="s">
        <v>31</v>
      </c>
      <c r="C10" s="177" t="s">
        <v>1315</v>
      </c>
      <c r="D10" s="177" t="s">
        <v>33</v>
      </c>
      <c r="E10" s="177" t="s">
        <v>1316</v>
      </c>
    </row>
    <row r="11" spans="2:14" x14ac:dyDescent="0.25">
      <c r="B11" s="176" t="s">
        <v>1317</v>
      </c>
      <c r="C11" s="177" t="s">
        <v>1318</v>
      </c>
      <c r="D11" s="177" t="s">
        <v>35</v>
      </c>
      <c r="E11" s="177" t="s">
        <v>1319</v>
      </c>
    </row>
    <row r="12" spans="2:14" x14ac:dyDescent="0.25">
      <c r="B12" s="176" t="s">
        <v>37</v>
      </c>
      <c r="C12" s="177" t="s">
        <v>1320</v>
      </c>
      <c r="D12" s="177" t="s">
        <v>1321</v>
      </c>
      <c r="E12" s="177" t="s">
        <v>1322</v>
      </c>
    </row>
    <row r="13" spans="2:14" x14ac:dyDescent="0.25">
      <c r="B13" s="176" t="s">
        <v>1323</v>
      </c>
      <c r="C13" s="177" t="s">
        <v>1324</v>
      </c>
      <c r="D13" s="177" t="s">
        <v>1325</v>
      </c>
      <c r="E13" s="177" t="s">
        <v>1326</v>
      </c>
    </row>
    <row r="14" spans="2:14" x14ac:dyDescent="0.25">
      <c r="B14" s="176" t="s">
        <v>1327</v>
      </c>
      <c r="C14" s="177" t="s">
        <v>1328</v>
      </c>
      <c r="D14" s="177" t="s">
        <v>1299</v>
      </c>
      <c r="E14" s="177" t="s">
        <v>1329</v>
      </c>
    </row>
    <row r="15" spans="2:14" ht="28.5" x14ac:dyDescent="0.25">
      <c r="B15" s="176" t="s">
        <v>1377</v>
      </c>
      <c r="C15" s="177" t="s">
        <v>1378</v>
      </c>
      <c r="D15" s="177" t="s">
        <v>1379</v>
      </c>
      <c r="E15" s="177" t="s">
        <v>1380</v>
      </c>
    </row>
    <row r="16" spans="2:14" x14ac:dyDescent="0.25">
      <c r="B16" s="176" t="s">
        <v>1381</v>
      </c>
      <c r="C16" s="177" t="s">
        <v>1382</v>
      </c>
      <c r="D16" s="177"/>
      <c r="E16" s="177"/>
    </row>
    <row r="17" spans="2:14" x14ac:dyDescent="0.25">
      <c r="B17" s="176"/>
      <c r="C17" s="177"/>
      <c r="D17" s="177"/>
      <c r="E17" s="177"/>
    </row>
    <row r="18" spans="2:14" ht="18" thickBot="1" x14ac:dyDescent="0.35">
      <c r="B18" s="29" t="s">
        <v>1330</v>
      </c>
    </row>
    <row r="19" spans="2:14" ht="15.75" thickTop="1" x14ac:dyDescent="0.25">
      <c r="B19" s="106" t="s">
        <v>1331</v>
      </c>
    </row>
    <row r="20" spans="2:14" x14ac:dyDescent="0.25">
      <c r="B20" s="107" t="s">
        <v>1332</v>
      </c>
    </row>
    <row r="21" spans="2:14" x14ac:dyDescent="0.25">
      <c r="B21" s="107" t="s">
        <v>1333</v>
      </c>
    </row>
    <row r="22" spans="2:14" x14ac:dyDescent="0.25">
      <c r="B22" s="108" t="s">
        <v>1334</v>
      </c>
    </row>
    <row r="23" spans="2:14" x14ac:dyDescent="0.25">
      <c r="B23" s="106"/>
    </row>
    <row r="24" spans="2:14" ht="18" thickBot="1" x14ac:dyDescent="0.35">
      <c r="B24" s="29" t="s">
        <v>1335</v>
      </c>
    </row>
    <row r="25" spans="2:14" ht="33.950000000000003" customHeight="1" thickTop="1" x14ac:dyDescent="0.25">
      <c r="B25" s="233" t="s">
        <v>1373</v>
      </c>
      <c r="C25" s="233"/>
      <c r="D25" s="233"/>
      <c r="E25" s="233"/>
      <c r="F25" s="233"/>
      <c r="G25" s="233"/>
      <c r="H25" s="233"/>
      <c r="I25" s="233"/>
      <c r="J25" s="233"/>
      <c r="K25" s="233"/>
      <c r="L25" s="233"/>
      <c r="M25" s="233"/>
      <c r="N25" s="233"/>
    </row>
    <row r="26" spans="2:14" x14ac:dyDescent="0.25">
      <c r="B26" s="106"/>
    </row>
    <row r="27" spans="2:14" x14ac:dyDescent="0.25">
      <c r="B27" s="106" t="s">
        <v>1336</v>
      </c>
    </row>
    <row r="28" spans="2:14" x14ac:dyDescent="0.25">
      <c r="B28" s="107" t="s">
        <v>1337</v>
      </c>
    </row>
    <row r="29" spans="2:14" x14ac:dyDescent="0.25">
      <c r="B29" s="107" t="s">
        <v>1338</v>
      </c>
    </row>
    <row r="30" spans="2:14" x14ac:dyDescent="0.25">
      <c r="B30" s="107" t="s">
        <v>1339</v>
      </c>
    </row>
    <row r="31" spans="2:14" x14ac:dyDescent="0.25">
      <c r="B31" s="107" t="s">
        <v>1340</v>
      </c>
    </row>
    <row r="32" spans="2:14" x14ac:dyDescent="0.25">
      <c r="B32" s="109"/>
    </row>
    <row r="33" spans="2:14" ht="42.6" customHeight="1" x14ac:dyDescent="0.25">
      <c r="B33" s="233" t="s">
        <v>1341</v>
      </c>
      <c r="C33" s="233"/>
      <c r="D33" s="233"/>
      <c r="E33" s="233"/>
      <c r="F33" s="233"/>
      <c r="G33" s="233"/>
      <c r="H33" s="233"/>
      <c r="I33" s="233"/>
      <c r="J33" s="233"/>
      <c r="K33" s="233"/>
      <c r="L33" s="233"/>
      <c r="M33" s="233"/>
      <c r="N33" s="233"/>
    </row>
    <row r="34" spans="2:14" x14ac:dyDescent="0.25">
      <c r="B34" s="106"/>
    </row>
    <row r="35" spans="2:14" ht="80.099999999999994" customHeight="1" x14ac:dyDescent="0.25">
      <c r="B35" s="235" t="s">
        <v>1374</v>
      </c>
      <c r="C35" s="235"/>
      <c r="D35" s="235"/>
      <c r="E35" s="235"/>
      <c r="F35" s="235"/>
      <c r="G35" s="235"/>
      <c r="H35" s="235"/>
      <c r="I35" s="235"/>
      <c r="J35" s="235"/>
      <c r="K35" s="235"/>
      <c r="L35" s="235"/>
      <c r="M35" s="235"/>
      <c r="N35" s="235"/>
    </row>
    <row r="36" spans="2:14" x14ac:dyDescent="0.25">
      <c r="B36" s="106"/>
    </row>
    <row r="37" spans="2:14" ht="82.5" customHeight="1" x14ac:dyDescent="0.25">
      <c r="B37" s="233" t="s">
        <v>1390</v>
      </c>
      <c r="C37" s="233"/>
      <c r="D37" s="233"/>
      <c r="E37" s="233"/>
      <c r="F37" s="233"/>
      <c r="G37" s="233"/>
      <c r="H37" s="233"/>
      <c r="I37" s="233"/>
      <c r="J37" s="233"/>
      <c r="K37" s="233"/>
      <c r="L37" s="233"/>
      <c r="M37" s="233"/>
      <c r="N37" s="233"/>
    </row>
    <row r="38" spans="2:14" x14ac:dyDescent="0.25">
      <c r="B38" s="110"/>
    </row>
    <row r="39" spans="2:14" x14ac:dyDescent="0.25">
      <c r="B39" s="233" t="s">
        <v>1375</v>
      </c>
      <c r="C39" s="233"/>
      <c r="D39" s="233"/>
      <c r="E39" s="233"/>
      <c r="F39" s="233"/>
      <c r="G39" s="233"/>
      <c r="H39" s="233"/>
      <c r="I39" s="233"/>
      <c r="J39" s="233"/>
      <c r="K39" s="233"/>
      <c r="L39" s="233"/>
      <c r="M39" s="233"/>
      <c r="N39" s="233"/>
    </row>
    <row r="41" spans="2:14" ht="41.45" customHeight="1" x14ac:dyDescent="0.25">
      <c r="B41" s="234" t="s">
        <v>1344</v>
      </c>
      <c r="C41" s="234"/>
      <c r="D41" s="234"/>
      <c r="E41" s="234"/>
      <c r="F41" s="234"/>
      <c r="G41" s="234"/>
      <c r="H41" s="234"/>
      <c r="I41" s="234"/>
      <c r="J41" s="234"/>
      <c r="K41" s="234"/>
      <c r="L41" s="234"/>
      <c r="M41" s="234"/>
      <c r="N41" s="234"/>
    </row>
    <row r="42" spans="2:14" x14ac:dyDescent="0.25">
      <c r="B42" s="234" t="s">
        <v>1342</v>
      </c>
      <c r="C42" s="234"/>
      <c r="D42" s="234"/>
      <c r="E42" s="234"/>
      <c r="F42" s="234"/>
      <c r="G42" s="234"/>
      <c r="H42" s="234"/>
      <c r="I42" s="234"/>
      <c r="J42" s="234"/>
      <c r="K42" s="234"/>
      <c r="L42" s="234"/>
      <c r="M42" s="234"/>
      <c r="N42" s="234"/>
    </row>
  </sheetData>
  <mergeCells count="10">
    <mergeCell ref="B37:N37"/>
    <mergeCell ref="B39:N39"/>
    <mergeCell ref="B41:N41"/>
    <mergeCell ref="B42:N42"/>
    <mergeCell ref="B3:N3"/>
    <mergeCell ref="B6:N6"/>
    <mergeCell ref="B8:N8"/>
    <mergeCell ref="B25:N25"/>
    <mergeCell ref="B33:N33"/>
    <mergeCell ref="B35:N35"/>
  </mergeCells>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59999389629810485"/>
  </sheetPr>
  <dimension ref="A1:E17"/>
  <sheetViews>
    <sheetView showGridLines="0" zoomScale="130" zoomScaleNormal="130" workbookViewId="0">
      <selection activeCell="D11" sqref="D11"/>
    </sheetView>
  </sheetViews>
  <sheetFormatPr defaultColWidth="0" defaultRowHeight="15" zeroHeight="1" x14ac:dyDescent="0.25"/>
  <cols>
    <col min="1" max="1" width="9.140625" customWidth="1"/>
    <col min="2" max="2" width="6" style="2" hidden="1" customWidth="1"/>
    <col min="3" max="3" width="30.7109375" customWidth="1"/>
    <col min="4" max="4" width="43" customWidth="1"/>
    <col min="5" max="5" width="9.140625" customWidth="1"/>
    <col min="6" max="16384" width="9.140625" hidden="1"/>
  </cols>
  <sheetData>
    <row r="1" spans="2:4" x14ac:dyDescent="0.25"/>
    <row r="2" spans="2:4" ht="20.25" thickBot="1" x14ac:dyDescent="0.35">
      <c r="B2" s="236" t="s">
        <v>15</v>
      </c>
      <c r="C2" s="236"/>
      <c r="D2" s="236"/>
    </row>
    <row r="3" spans="2:4" ht="16.5" thickTop="1" thickBot="1" x14ac:dyDescent="0.3"/>
    <row r="4" spans="2:4" ht="15.75" hidden="1" thickBot="1" x14ac:dyDescent="0.3">
      <c r="B4" s="5" t="s">
        <v>6</v>
      </c>
      <c r="C4" s="1" t="s">
        <v>7</v>
      </c>
      <c r="D4" s="1" t="s">
        <v>8</v>
      </c>
    </row>
    <row r="5" spans="2:4" x14ac:dyDescent="0.25">
      <c r="B5" s="2">
        <v>1</v>
      </c>
      <c r="C5" s="6" t="s">
        <v>0</v>
      </c>
      <c r="D5" s="33"/>
    </row>
    <row r="6" spans="2:4" x14ac:dyDescent="0.25">
      <c r="C6" s="7" t="s">
        <v>1004</v>
      </c>
      <c r="D6" s="34"/>
    </row>
    <row r="7" spans="2:4" x14ac:dyDescent="0.25">
      <c r="B7" s="2">
        <v>2</v>
      </c>
      <c r="C7" s="7" t="s">
        <v>1</v>
      </c>
      <c r="D7" s="34"/>
    </row>
    <row r="8" spans="2:4" x14ac:dyDescent="0.25">
      <c r="B8" s="2">
        <v>3</v>
      </c>
      <c r="C8" s="7" t="s">
        <v>2</v>
      </c>
      <c r="D8" s="34"/>
    </row>
    <row r="9" spans="2:4" x14ac:dyDescent="0.25">
      <c r="B9" s="2">
        <v>4</v>
      </c>
      <c r="C9" s="7" t="s">
        <v>3</v>
      </c>
      <c r="D9" s="34"/>
    </row>
    <row r="10" spans="2:4" x14ac:dyDescent="0.25">
      <c r="B10" s="2">
        <v>5</v>
      </c>
      <c r="C10" s="7" t="s">
        <v>4</v>
      </c>
      <c r="D10" s="34"/>
    </row>
    <row r="11" spans="2:4" ht="15.75" thickBot="1" x14ac:dyDescent="0.3">
      <c r="B11" s="2">
        <v>6</v>
      </c>
      <c r="C11" s="8" t="s">
        <v>5</v>
      </c>
      <c r="D11" s="35"/>
    </row>
    <row r="12" spans="2:4" x14ac:dyDescent="0.25"/>
    <row r="13" spans="2:4" ht="30" x14ac:dyDescent="0.25">
      <c r="B13" s="2">
        <v>7</v>
      </c>
      <c r="C13" s="9" t="s">
        <v>1040</v>
      </c>
      <c r="D13" s="36"/>
    </row>
    <row r="14" spans="2:4" x14ac:dyDescent="0.25">
      <c r="C14" s="9"/>
    </row>
    <row r="15" spans="2:4" x14ac:dyDescent="0.25">
      <c r="B15" s="2">
        <v>8</v>
      </c>
      <c r="C15" t="s">
        <v>21</v>
      </c>
      <c r="D15" s="36"/>
    </row>
    <row r="16" spans="2:4" x14ac:dyDescent="0.25">
      <c r="C16" t="s">
        <v>1006</v>
      </c>
      <c r="D16" s="37"/>
    </row>
    <row r="17" x14ac:dyDescent="0.25"/>
  </sheetData>
  <sheetProtection sheet="1" selectLockedCells="1"/>
  <mergeCells count="1">
    <mergeCell ref="B2:D2"/>
  </mergeCells>
  <conditionalFormatting sqref="D13 D15:D16 D5:D11">
    <cfRule type="expression" dxfId="203" priority="5">
      <formula>LEN($D5)=0</formula>
    </cfRule>
  </conditionalFormatting>
  <conditionalFormatting sqref="D6">
    <cfRule type="expression" dxfId="202" priority="4">
      <formula>ISBLANK(D6)</formula>
    </cfRule>
  </conditionalFormatting>
  <conditionalFormatting sqref="D7">
    <cfRule type="expression" dxfId="201" priority="3" stopIfTrue="1">
      <formula>ISBLANK(D7)</formula>
    </cfRule>
  </conditionalFormatting>
  <dataValidations count="1">
    <dataValidation type="list" allowBlank="1" showInputMessage="1" showErrorMessage="1" sqref="D6" xr:uid="{00000000-0002-0000-0100-000000000000}">
      <formula1>"CENT,CW,MH,NSM"</formula1>
    </dataValidation>
  </dataValidations>
  <pageMargins left="0.7" right="0.7" top="0.75" bottom="0.75" header="0.3" footer="0.3"/>
  <pageSetup orientation="portrait"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1000000}">
          <x14:formula1>
            <xm:f>OFFSET('Drop-Downs'!$AG$3:$AG$154,MATCH($D$6,'Drop-Downs'!$AC$3:$AC$154,0)-1,,COUNTIFS('Drop-Downs'!$AC$3:$AC$154,$D$6))</xm:f>
          </x14:formula1>
          <xm:sqref>D7</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7" tint="0.59999389629810485"/>
  </sheetPr>
  <dimension ref="A1:M30"/>
  <sheetViews>
    <sheetView showGridLines="0" topLeftCell="G1" zoomScale="115" zoomScaleNormal="115" workbookViewId="0">
      <selection activeCell="G10" sqref="G10"/>
    </sheetView>
  </sheetViews>
  <sheetFormatPr defaultColWidth="0" defaultRowHeight="15" zeroHeight="1" outlineLevelRow="1" outlineLevelCol="1" x14ac:dyDescent="0.25"/>
  <cols>
    <col min="1" max="1" width="10.7109375" customWidth="1"/>
    <col min="2" max="5" width="13.140625" hidden="1" customWidth="1" outlineLevel="1"/>
    <col min="6" max="6" width="16.28515625" hidden="1" customWidth="1" outlineLevel="1"/>
    <col min="7" max="7" width="25.85546875" customWidth="1" collapsed="1"/>
    <col min="8" max="8" width="72.140625" bestFit="1" customWidth="1"/>
    <col min="9" max="11" width="18.42578125" customWidth="1"/>
    <col min="12" max="12" width="43.7109375" customWidth="1"/>
    <col min="13" max="13" width="21.85546875" customWidth="1"/>
    <col min="14" max="16384" width="13" hidden="1"/>
  </cols>
  <sheetData>
    <row r="1" spans="2:12" x14ac:dyDescent="0.25"/>
    <row r="2" spans="2:12" ht="20.25" thickBot="1" x14ac:dyDescent="0.35">
      <c r="G2" s="4" t="s">
        <v>16</v>
      </c>
    </row>
    <row r="3" spans="2:12" ht="18.75" thickTop="1" thickBot="1" x14ac:dyDescent="0.35">
      <c r="G3" s="29" t="s">
        <v>10</v>
      </c>
    </row>
    <row r="4" spans="2:12" ht="16.5" thickTop="1" x14ac:dyDescent="0.25">
      <c r="G4" s="30" t="s">
        <v>1369</v>
      </c>
    </row>
    <row r="5" spans="2:12" ht="15.75" customHeight="1" thickBot="1" x14ac:dyDescent="0.3"/>
    <row r="6" spans="2:12" ht="15.75" customHeight="1" thickBot="1" x14ac:dyDescent="0.3">
      <c r="G6" s="196" t="s">
        <v>1362</v>
      </c>
    </row>
    <row r="7" spans="2:12" ht="15.75" customHeight="1" thickBot="1" x14ac:dyDescent="0.3">
      <c r="G7" s="195" t="s">
        <v>24</v>
      </c>
      <c r="H7" s="193" t="s">
        <v>12</v>
      </c>
      <c r="I7" s="194">
        <v>40000</v>
      </c>
      <c r="J7" s="194">
        <v>25000</v>
      </c>
      <c r="K7" s="194">
        <v>15000</v>
      </c>
      <c r="L7" s="44"/>
    </row>
    <row r="8" spans="2:12" ht="45.75" thickBot="1" x14ac:dyDescent="0.3">
      <c r="G8" s="31" t="s">
        <v>1025</v>
      </c>
      <c r="H8" s="22" t="s">
        <v>20</v>
      </c>
      <c r="I8" s="27" t="s">
        <v>1376</v>
      </c>
      <c r="J8" s="41" t="s">
        <v>1296</v>
      </c>
      <c r="K8" s="61" t="s">
        <v>1291</v>
      </c>
      <c r="L8" s="57" t="s">
        <v>1286</v>
      </c>
    </row>
    <row r="9" spans="2:12" s="10" customFormat="1" ht="30.75" outlineLevel="1" thickBot="1" x14ac:dyDescent="0.3">
      <c r="B9" s="54" t="s">
        <v>1272</v>
      </c>
      <c r="C9" s="76" t="s">
        <v>1289</v>
      </c>
      <c r="D9" s="76" t="s">
        <v>1292</v>
      </c>
      <c r="E9" s="76" t="s">
        <v>1363</v>
      </c>
      <c r="F9" s="13" t="s">
        <v>6</v>
      </c>
      <c r="G9" s="18" t="s">
        <v>18</v>
      </c>
      <c r="H9" s="12" t="s">
        <v>9</v>
      </c>
      <c r="I9" s="42" t="s">
        <v>10</v>
      </c>
      <c r="J9" s="42" t="s">
        <v>1283</v>
      </c>
      <c r="K9" s="60" t="s">
        <v>1284</v>
      </c>
      <c r="L9" s="58" t="s">
        <v>7</v>
      </c>
    </row>
    <row r="10" spans="2:12" x14ac:dyDescent="0.25">
      <c r="B10" s="53" t="str">
        <f>IF(AND(Surplus[[#This Row],[Surplus]]&lt;&gt;0,COUNTIFS(Surplus[TPBE],Surplus[[#This Row],[TPBE]],Surplus[Functional Centre],Surplus[[#This Row],[Functional Centre]],Surplus[Index],"&lt;"&amp;Surplus[[#This Row],[Index]])=0),Surplus[[#This Row],[Index]],"")</f>
        <v/>
      </c>
      <c r="C10" s="53" t="str">
        <f>IF(AND(Surplus[[#This Row],[Surplus]]&lt;&gt;0,COUNTBLANK(Surplus[[#This Row],[TPBE]:[Functional Centre]])=0),Surplus[[#This Row],[Index]],"")</f>
        <v/>
      </c>
      <c r="D10" s="53" t="str">
        <f>IF(AND(Surplus[[#This Row],[Surplus]]&lt;&gt;0,COUNTBLANK(Surplus[[#This Row],[TPBE]:[Functional Centre]])=0,_xlfn.IFNA(INDEX(TPBE[Group Type],MATCH(Surplus[[#This Row],[TPBE]],TPBE[TPBE],0)),0)=1),Surplus[[#This Row],[Index]],"")</f>
        <v/>
      </c>
      <c r="E10" s="53" t="str">
        <f>IF(Surplus[[#This Row],[Surplus]]&lt;=0,"",_xlfn.IFNA(INDEX(TPBE[Group],MATCH(Surplus[[#This Row],[TPBE]],TPBE[TPBE],0)),""))</f>
        <v/>
      </c>
      <c r="F10" s="14">
        <f>ROW()-ROW(Surplus[[#Headers],[Index]])</f>
        <v>1</v>
      </c>
      <c r="G10" s="24"/>
      <c r="H10" s="63"/>
      <c r="I10" s="64"/>
      <c r="J10" s="64"/>
      <c r="K10" s="65">
        <f>Surplus[[#This Row],[Forecasted Surplus]]-Surplus[[#This Row],[Restricted]]</f>
        <v>0</v>
      </c>
      <c r="L10" s="66"/>
    </row>
    <row r="11" spans="2:12" x14ac:dyDescent="0.25">
      <c r="B11" s="53" t="str">
        <f>IF(AND(Surplus[[#This Row],[Surplus]]&lt;&gt;0,COUNTIFS(Surplus[TPBE],Surplus[[#This Row],[TPBE]],Surplus[Functional Centre],Surplus[[#This Row],[Functional Centre]],Surplus[Index],"&lt;"&amp;Surplus[[#This Row],[Index]])=0),Surplus[[#This Row],[Index]],"")</f>
        <v/>
      </c>
      <c r="C11" s="53" t="str">
        <f>IF(AND(Surplus[[#This Row],[Surplus]]&lt;&gt;0,COUNTBLANK(Surplus[[#This Row],[TPBE]:[Functional Centre]])=0),Surplus[[#This Row],[Index]],"")</f>
        <v/>
      </c>
      <c r="D11" s="53" t="str">
        <f>IF(AND(Surplus[[#This Row],[Surplus]]&lt;&gt;0,COUNTBLANK(Surplus[[#This Row],[TPBE]:[Functional Centre]])=0,_xlfn.IFNA(INDEX(TPBE[Group Type],MATCH(Surplus[[#This Row],[TPBE]],TPBE[TPBE],0)),0)=1),Surplus[[#This Row],[Index]],"")</f>
        <v/>
      </c>
      <c r="E11" s="53" t="str">
        <f>IF(Surplus[[#This Row],[Surplus]]&lt;=0,"",_xlfn.IFNA(INDEX(TPBE[Group],MATCH(Surplus[[#This Row],[TPBE]],TPBE[TPBE],0)),""))</f>
        <v/>
      </c>
      <c r="F11" s="15">
        <f>ROW()-ROW(Surplus[[#Headers],[Index]])</f>
        <v>2</v>
      </c>
      <c r="G11" s="49"/>
      <c r="H11" s="67"/>
      <c r="I11" s="68"/>
      <c r="J11" s="68"/>
      <c r="K11" s="69">
        <f>Surplus[[#This Row],[Forecasted Surplus]]-Surplus[[#This Row],[Restricted]]</f>
        <v>0</v>
      </c>
      <c r="L11" s="70"/>
    </row>
    <row r="12" spans="2:12" x14ac:dyDescent="0.25">
      <c r="B12" s="53" t="str">
        <f>IF(AND(Surplus[[#This Row],[Surplus]]&lt;&gt;0,COUNTIFS(Surplus[TPBE],Surplus[[#This Row],[TPBE]],Surplus[Functional Centre],Surplus[[#This Row],[Functional Centre]],Surplus[Index],"&lt;"&amp;Surplus[[#This Row],[Index]])=0),Surplus[[#This Row],[Index]],"")</f>
        <v/>
      </c>
      <c r="C12" s="53" t="str">
        <f>IF(AND(Surplus[[#This Row],[Surplus]]&lt;&gt;0,COUNTBLANK(Surplus[[#This Row],[TPBE]:[Functional Centre]])=0),Surplus[[#This Row],[Index]],"")</f>
        <v/>
      </c>
      <c r="D12" s="53" t="str">
        <f>IF(AND(Surplus[[#This Row],[Surplus]]&lt;&gt;0,COUNTBLANK(Surplus[[#This Row],[TPBE]:[Functional Centre]])=0,_xlfn.IFNA(INDEX(TPBE[Group Type],MATCH(Surplus[[#This Row],[TPBE]],TPBE[TPBE],0)),0)=1),Surplus[[#This Row],[Index]],"")</f>
        <v/>
      </c>
      <c r="E12" s="53" t="str">
        <f>IF(Surplus[[#This Row],[Surplus]]&lt;=0,"",_xlfn.IFNA(INDEX(TPBE[Group],MATCH(Surplus[[#This Row],[TPBE]],TPBE[TPBE],0)),""))</f>
        <v/>
      </c>
      <c r="F12" s="15">
        <f>ROW()-ROW(Surplus[[#Headers],[Index]])</f>
        <v>3</v>
      </c>
      <c r="G12" s="49"/>
      <c r="H12" s="67"/>
      <c r="I12" s="68"/>
      <c r="J12" s="68"/>
      <c r="K12" s="69">
        <f>Surplus[[#This Row],[Forecasted Surplus]]-Surplus[[#This Row],[Restricted]]</f>
        <v>0</v>
      </c>
      <c r="L12" s="70"/>
    </row>
    <row r="13" spans="2:12" x14ac:dyDescent="0.25">
      <c r="B13" s="53" t="str">
        <f>IF(AND(Surplus[[#This Row],[Surplus]]&lt;&gt;0,COUNTIFS(Surplus[TPBE],Surplus[[#This Row],[TPBE]],Surplus[Functional Centre],Surplus[[#This Row],[Functional Centre]],Surplus[Index],"&lt;"&amp;Surplus[[#This Row],[Index]])=0),Surplus[[#This Row],[Index]],"")</f>
        <v/>
      </c>
      <c r="C13" s="53" t="str">
        <f>IF(AND(Surplus[[#This Row],[Surplus]]&lt;&gt;0,COUNTBLANK(Surplus[[#This Row],[TPBE]:[Functional Centre]])=0),Surplus[[#This Row],[Index]],"")</f>
        <v/>
      </c>
      <c r="D13" s="53" t="str">
        <f>IF(AND(Surplus[[#This Row],[Surplus]]&lt;&gt;0,COUNTBLANK(Surplus[[#This Row],[TPBE]:[Functional Centre]])=0,_xlfn.IFNA(INDEX(TPBE[Group Type],MATCH(Surplus[[#This Row],[TPBE]],TPBE[TPBE],0)),0)=1),Surplus[[#This Row],[Index]],"")</f>
        <v/>
      </c>
      <c r="E13" s="53" t="str">
        <f>IF(Surplus[[#This Row],[Surplus]]&lt;=0,"",_xlfn.IFNA(INDEX(TPBE[Group],MATCH(Surplus[[#This Row],[TPBE]],TPBE[TPBE],0)),""))</f>
        <v/>
      </c>
      <c r="F13" s="16">
        <f>ROW()-ROW(Surplus[[#Headers],[Index]])</f>
        <v>4</v>
      </c>
      <c r="G13" s="49"/>
      <c r="H13" s="67"/>
      <c r="I13" s="68"/>
      <c r="J13" s="68"/>
      <c r="K13" s="69">
        <f>Surplus[[#This Row],[Forecasted Surplus]]-Surplus[[#This Row],[Restricted]]</f>
        <v>0</v>
      </c>
      <c r="L13" s="70"/>
    </row>
    <row r="14" spans="2:12" s="11" customFormat="1" x14ac:dyDescent="0.25">
      <c r="B14" s="53" t="str">
        <f>IF(AND(Surplus[[#This Row],[Surplus]]&lt;&gt;0,COUNTIFS(Surplus[TPBE],Surplus[[#This Row],[TPBE]],Surplus[Functional Centre],Surplus[[#This Row],[Functional Centre]],Surplus[Index],"&lt;"&amp;Surplus[[#This Row],[Index]])=0),Surplus[[#This Row],[Index]],"")</f>
        <v/>
      </c>
      <c r="C14" s="53" t="str">
        <f>IF(AND(Surplus[[#This Row],[Surplus]]&lt;&gt;0,COUNTBLANK(Surplus[[#This Row],[TPBE]:[Functional Centre]])=0),Surplus[[#This Row],[Index]],"")</f>
        <v/>
      </c>
      <c r="D14" s="53" t="str">
        <f>IF(AND(Surplus[[#This Row],[Surplus]]&lt;&gt;0,COUNTBLANK(Surplus[[#This Row],[TPBE]:[Functional Centre]])=0,_xlfn.IFNA(INDEX(TPBE[Group Type],MATCH(Surplus[[#This Row],[TPBE]],TPBE[TPBE],0)),0)=1),Surplus[[#This Row],[Index]],"")</f>
        <v/>
      </c>
      <c r="E14" s="53" t="str">
        <f>IF(Surplus[[#This Row],[Surplus]]&lt;=0,"",_xlfn.IFNA(INDEX(TPBE[Group],MATCH(Surplus[[#This Row],[TPBE]],TPBE[TPBE],0)),""))</f>
        <v/>
      </c>
      <c r="F14" s="19">
        <f>ROW()-ROW(Surplus[[#Headers],[Index]])</f>
        <v>5</v>
      </c>
      <c r="G14" s="49"/>
      <c r="H14" s="67"/>
      <c r="I14" s="68"/>
      <c r="J14" s="68"/>
      <c r="K14" s="69">
        <f>Surplus[[#This Row],[Forecasted Surplus]]-Surplus[[#This Row],[Restricted]]</f>
        <v>0</v>
      </c>
      <c r="L14" s="70"/>
    </row>
    <row r="15" spans="2:12" x14ac:dyDescent="0.25">
      <c r="B15" s="53" t="str">
        <f>IF(AND(Surplus[[#This Row],[Surplus]]&lt;&gt;0,COUNTIFS(Surplus[TPBE],Surplus[[#This Row],[TPBE]],Surplus[Functional Centre],Surplus[[#This Row],[Functional Centre]],Surplus[Index],"&lt;"&amp;Surplus[[#This Row],[Index]])=0),Surplus[[#This Row],[Index]],"")</f>
        <v/>
      </c>
      <c r="C15" s="53" t="str">
        <f>IF(AND(Surplus[[#This Row],[Surplus]]&lt;&gt;0,COUNTBLANK(Surplus[[#This Row],[TPBE]:[Functional Centre]])=0),Surplus[[#This Row],[Index]],"")</f>
        <v/>
      </c>
      <c r="D15" s="53" t="str">
        <f>IF(AND(Surplus[[#This Row],[Surplus]]&lt;&gt;0,COUNTBLANK(Surplus[[#This Row],[TPBE]:[Functional Centre]])=0,_xlfn.IFNA(INDEX(TPBE[Group Type],MATCH(Surplus[[#This Row],[TPBE]],TPBE[TPBE],0)),0)=1),Surplus[[#This Row],[Index]],"")</f>
        <v/>
      </c>
      <c r="E15" s="53" t="str">
        <f>IF(Surplus[[#This Row],[Surplus]]&lt;=0,"",_xlfn.IFNA(INDEX(TPBE[Group],MATCH(Surplus[[#This Row],[TPBE]],TPBE[TPBE],0)),""))</f>
        <v/>
      </c>
      <c r="F15" s="19">
        <f>ROW()-ROW(Surplus[[#Headers],[Index]])</f>
        <v>6</v>
      </c>
      <c r="G15" s="49"/>
      <c r="H15" s="67"/>
      <c r="I15" s="68"/>
      <c r="J15" s="68"/>
      <c r="K15" s="69">
        <f>Surplus[[#This Row],[Forecasted Surplus]]-Surplus[[#This Row],[Restricted]]</f>
        <v>0</v>
      </c>
      <c r="L15" s="70"/>
    </row>
    <row r="16" spans="2:12" x14ac:dyDescent="0.25">
      <c r="B16" s="53" t="str">
        <f>IF(AND(Surplus[[#This Row],[Surplus]]&lt;&gt;0,COUNTIFS(Surplus[TPBE],Surplus[[#This Row],[TPBE]],Surplus[Functional Centre],Surplus[[#This Row],[Functional Centre]],Surplus[Index],"&lt;"&amp;Surplus[[#This Row],[Index]])=0),Surplus[[#This Row],[Index]],"")</f>
        <v/>
      </c>
      <c r="C16" s="53" t="str">
        <f>IF(AND(Surplus[[#This Row],[Surplus]]&lt;&gt;0,COUNTBLANK(Surplus[[#This Row],[TPBE]:[Functional Centre]])=0),Surplus[[#This Row],[Index]],"")</f>
        <v/>
      </c>
      <c r="D16" s="53" t="str">
        <f>IF(AND(Surplus[[#This Row],[Surplus]]&lt;&gt;0,COUNTBLANK(Surplus[[#This Row],[TPBE]:[Functional Centre]])=0,_xlfn.IFNA(INDEX(TPBE[Group Type],MATCH(Surplus[[#This Row],[TPBE]],TPBE[TPBE],0)),0)=1),Surplus[[#This Row],[Index]],"")</f>
        <v/>
      </c>
      <c r="E16" s="53" t="str">
        <f>IF(Surplus[[#This Row],[Surplus]]&lt;=0,"",_xlfn.IFNA(INDEX(TPBE[Group],MATCH(Surplus[[#This Row],[TPBE]],TPBE[TPBE],0)),""))</f>
        <v/>
      </c>
      <c r="F16" s="15">
        <f>ROW()-ROW(Surplus[[#Headers],[Index]])</f>
        <v>7</v>
      </c>
      <c r="G16" s="49"/>
      <c r="H16" s="67"/>
      <c r="I16" s="68"/>
      <c r="J16" s="68"/>
      <c r="K16" s="69">
        <f>Surplus[[#This Row],[Forecasted Surplus]]-Surplus[[#This Row],[Restricted]]</f>
        <v>0</v>
      </c>
      <c r="L16" s="70"/>
    </row>
    <row r="17" spans="2:12" x14ac:dyDescent="0.25">
      <c r="B17" s="53" t="str">
        <f>IF(AND(Surplus[[#This Row],[Surplus]]&lt;&gt;0,COUNTIFS(Surplus[TPBE],Surplus[[#This Row],[TPBE]],Surplus[Functional Centre],Surplus[[#This Row],[Functional Centre]],Surplus[Index],"&lt;"&amp;Surplus[[#This Row],[Index]])=0),Surplus[[#This Row],[Index]],"")</f>
        <v/>
      </c>
      <c r="C17" s="53" t="str">
        <f>IF(AND(Surplus[[#This Row],[Surplus]]&lt;&gt;0,COUNTBLANK(Surplus[[#This Row],[TPBE]:[Functional Centre]])=0),Surplus[[#This Row],[Index]],"")</f>
        <v/>
      </c>
      <c r="D17" s="53" t="str">
        <f>IF(AND(Surplus[[#This Row],[Surplus]]&lt;&gt;0,COUNTBLANK(Surplus[[#This Row],[TPBE]:[Functional Centre]])=0,_xlfn.IFNA(INDEX(TPBE[Group Type],MATCH(Surplus[[#This Row],[TPBE]],TPBE[TPBE],0)),0)=1),Surplus[[#This Row],[Index]],"")</f>
        <v/>
      </c>
      <c r="E17" s="53" t="str">
        <f>IF(Surplus[[#This Row],[Surplus]]&lt;=0,"",_xlfn.IFNA(INDEX(TPBE[Group],MATCH(Surplus[[#This Row],[TPBE]],TPBE[TPBE],0)),""))</f>
        <v/>
      </c>
      <c r="F17" s="15">
        <f>ROW()-ROW(Surplus[[#Headers],[Index]])</f>
        <v>8</v>
      </c>
      <c r="G17" s="49"/>
      <c r="H17" s="67"/>
      <c r="I17" s="68"/>
      <c r="J17" s="68"/>
      <c r="K17" s="69">
        <f>Surplus[[#This Row],[Forecasted Surplus]]-Surplus[[#This Row],[Restricted]]</f>
        <v>0</v>
      </c>
      <c r="L17" s="70"/>
    </row>
    <row r="18" spans="2:12" x14ac:dyDescent="0.25">
      <c r="B18" s="53" t="str">
        <f>IF(AND(Surplus[[#This Row],[Surplus]]&lt;&gt;0,COUNTIFS(Surplus[TPBE],Surplus[[#This Row],[TPBE]],Surplus[Functional Centre],Surplus[[#This Row],[Functional Centre]],Surplus[Index],"&lt;"&amp;Surplus[[#This Row],[Index]])=0),Surplus[[#This Row],[Index]],"")</f>
        <v/>
      </c>
      <c r="C18" s="53" t="str">
        <f>IF(AND(Surplus[[#This Row],[Surplus]]&lt;&gt;0,COUNTBLANK(Surplus[[#This Row],[TPBE]:[Functional Centre]])=0),Surplus[[#This Row],[Index]],"")</f>
        <v/>
      </c>
      <c r="D18" s="53" t="str">
        <f>IF(AND(Surplus[[#This Row],[Surplus]]&lt;&gt;0,COUNTBLANK(Surplus[[#This Row],[TPBE]:[Functional Centre]])=0,_xlfn.IFNA(INDEX(TPBE[Group Type],MATCH(Surplus[[#This Row],[TPBE]],TPBE[TPBE],0)),0)=1),Surplus[[#This Row],[Index]],"")</f>
        <v/>
      </c>
      <c r="E18" s="53" t="str">
        <f>IF(Surplus[[#This Row],[Surplus]]&lt;=0,"",_xlfn.IFNA(INDEX(TPBE[Group],MATCH(Surplus[[#This Row],[TPBE]],TPBE[TPBE],0)),""))</f>
        <v/>
      </c>
      <c r="F18" s="15">
        <f>ROW()-ROW(Surplus[[#Headers],[Index]])</f>
        <v>9</v>
      </c>
      <c r="G18" s="49"/>
      <c r="H18" s="67"/>
      <c r="I18" s="68"/>
      <c r="J18" s="68"/>
      <c r="K18" s="69">
        <f>Surplus[[#This Row],[Forecasted Surplus]]-Surplus[[#This Row],[Restricted]]</f>
        <v>0</v>
      </c>
      <c r="L18" s="70"/>
    </row>
    <row r="19" spans="2:12" ht="15.75" thickBot="1" x14ac:dyDescent="0.3">
      <c r="B19" s="53" t="str">
        <f>IF(AND(Surplus[[#This Row],[Surplus]]&lt;&gt;0,COUNTIFS(Surplus[TPBE],Surplus[[#This Row],[TPBE]],Surplus[Functional Centre],Surplus[[#This Row],[Functional Centre]],Surplus[Index],"&lt;"&amp;Surplus[[#This Row],[Index]])=0),Surplus[[#This Row],[Index]],"")</f>
        <v/>
      </c>
      <c r="C19" s="53" t="str">
        <f>IF(AND(Surplus[[#This Row],[Surplus]]&lt;&gt;0,COUNTBLANK(Surplus[[#This Row],[TPBE]:[Functional Centre]])=0),Surplus[[#This Row],[Index]],"")</f>
        <v/>
      </c>
      <c r="D19" s="53" t="str">
        <f>IF(AND(Surplus[[#This Row],[Surplus]]&lt;&gt;0,COUNTBLANK(Surplus[[#This Row],[TPBE]:[Functional Centre]])=0,_xlfn.IFNA(INDEX(TPBE[Group Type],MATCH(Surplus[[#This Row],[TPBE]],TPBE[TPBE],0)),0)=1),Surplus[[#This Row],[Index]],"")</f>
        <v/>
      </c>
      <c r="E19" s="53" t="str">
        <f>IF(Surplus[[#This Row],[Surplus]]&lt;=0,"",_xlfn.IFNA(INDEX(TPBE[Group],MATCH(Surplus[[#This Row],[TPBE]],TPBE[TPBE],0)),""))</f>
        <v/>
      </c>
      <c r="F19" s="20">
        <f>ROW()-ROW(Surplus[[#Headers],[Index]])</f>
        <v>10</v>
      </c>
      <c r="G19" s="71"/>
      <c r="H19" s="72"/>
      <c r="I19" s="73"/>
      <c r="J19" s="73"/>
      <c r="K19" s="74">
        <f>Surplus[[#This Row],[Forecasted Surplus]]-Surplus[[#This Row],[Restricted]]</f>
        <v>0</v>
      </c>
      <c r="L19" s="75"/>
    </row>
    <row r="20" spans="2:12" ht="15.75" thickBot="1" x14ac:dyDescent="0.3">
      <c r="B20" s="55">
        <f>SUBTOTAL(102,Surplus[Add to Recoveries])</f>
        <v>0</v>
      </c>
      <c r="C20" s="55"/>
      <c r="D20" s="55"/>
      <c r="E20" s="55"/>
      <c r="F20" s="17">
        <f>SUBTOTAL(102,Surplus[Index])</f>
        <v>10</v>
      </c>
      <c r="G20" s="21" t="s">
        <v>14</v>
      </c>
      <c r="H20" s="22"/>
      <c r="I20" s="43">
        <f>SUBTOTAL(109,Surplus[Forecasted Surplus])</f>
        <v>0</v>
      </c>
      <c r="J20" s="43">
        <f>SUBTOTAL(109,Surplus[Restricted])</f>
        <v>0</v>
      </c>
      <c r="K20" s="62">
        <f>SUBTOTAL(109,Surplus[Surplus])</f>
        <v>0</v>
      </c>
      <c r="L20" s="59"/>
    </row>
    <row r="21" spans="2:12" x14ac:dyDescent="0.25"/>
    <row r="22" spans="2:12" x14ac:dyDescent="0.25">
      <c r="G22" s="32" t="s">
        <v>1281</v>
      </c>
    </row>
    <row r="23" spans="2:12" x14ac:dyDescent="0.25">
      <c r="G23" s="32" t="s">
        <v>1285</v>
      </c>
    </row>
    <row r="24" spans="2:12" x14ac:dyDescent="0.25"/>
    <row r="26" spans="2:12" ht="15" hidden="1" customHeight="1" x14ac:dyDescent="0.25"/>
    <row r="27" spans="2:12" ht="15" hidden="1" customHeight="1" x14ac:dyDescent="0.25"/>
    <row r="28" spans="2:12" ht="15" hidden="1" customHeight="1" x14ac:dyDescent="0.25"/>
    <row r="29" spans="2:12" ht="15" hidden="1" customHeight="1" x14ac:dyDescent="0.25"/>
    <row r="30" spans="2:12" ht="15" hidden="1" customHeight="1" x14ac:dyDescent="0.25"/>
  </sheetData>
  <sheetProtection sheet="1" selectLockedCells="1"/>
  <conditionalFormatting sqref="L10:L15 L19 G10:H19">
    <cfRule type="expression" dxfId="196" priority="10">
      <formula>$J10="Restricted"</formula>
    </cfRule>
  </conditionalFormatting>
  <conditionalFormatting sqref="L16">
    <cfRule type="expression" dxfId="195" priority="5">
      <formula>$J16="Restricted"</formula>
    </cfRule>
  </conditionalFormatting>
  <conditionalFormatting sqref="L17">
    <cfRule type="expression" dxfId="194" priority="4">
      <formula>$J17="Restricted"</formula>
    </cfRule>
  </conditionalFormatting>
  <conditionalFormatting sqref="L18">
    <cfRule type="expression" dxfId="193" priority="3">
      <formula>$J18="Restricted"</formula>
    </cfRule>
  </conditionalFormatting>
  <conditionalFormatting sqref="G10:J19 L10:L19">
    <cfRule type="expression" dxfId="192" priority="1">
      <formula>AND(ISEVEN($F10),ISBLANK(G10))</formula>
    </cfRule>
    <cfRule type="expression" dxfId="191" priority="2">
      <formula>AND(ISODD($F10),ISBLANK(G10))</formula>
    </cfRule>
  </conditionalFormatting>
  <dataValidations count="3">
    <dataValidation type="custom" allowBlank="1" showInputMessage="1" showErrorMessage="1" sqref="G8" xr:uid="{00000000-0002-0000-0200-000000000000}">
      <formula1>"&lt;0&gt;0"</formula1>
    </dataValidation>
    <dataValidation type="whole" allowBlank="1" showInputMessage="1" showErrorMessage="1" sqref="I10:J19" xr:uid="{00000000-0002-0000-0200-000001000000}">
      <formula1>-999999999999</formula1>
      <formula2>999999999999</formula2>
    </dataValidation>
    <dataValidation type="list" allowBlank="1" showInputMessage="1" showErrorMessage="1" sqref="G10:G19" xr:uid="{00000000-0002-0000-0200-000003000000}">
      <formula1>List_TPBE</formula1>
    </dataValidation>
  </dataValidations>
  <hyperlinks>
    <hyperlink ref="G8" location="_ftn1" display="_ftn1" xr:uid="{00000000-0004-0000-0200-000000000000}"/>
    <hyperlink ref="G22" location="_ftnref1" display="_ftnref1" xr:uid="{00000000-0004-0000-0200-000001000000}"/>
  </hyperlinks>
  <pageMargins left="0.7" right="0.7" top="0.75" bottom="0.75" header="0.3" footer="0.3"/>
  <pageSetup orientation="portrait" verticalDpi="0" r:id="rId1"/>
  <tableParts count="1">
    <tablePart r:id="rId2"/>
  </tablePart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200-000002000000}">
          <x14:formula1>
            <xm:f>'Drop-Downs'!$Z$3:$Z$213</xm:f>
          </x14:formula1>
          <xm:sqref>H10:H19</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7" tint="0.59999389629810485"/>
  </sheetPr>
  <dimension ref="A1:AG75"/>
  <sheetViews>
    <sheetView showGridLines="0" zoomScale="86" zoomScaleNormal="86" workbookViewId="0">
      <pane xSplit="6" ySplit="5" topLeftCell="G6" activePane="bottomRight" state="frozen"/>
      <selection pane="topRight" activeCell="G1" sqref="G1"/>
      <selection pane="bottomLeft" activeCell="A6" sqref="A6"/>
      <selection pane="bottomRight" activeCell="L13" sqref="L13"/>
    </sheetView>
  </sheetViews>
  <sheetFormatPr defaultColWidth="0" defaultRowHeight="15" zeroHeight="1" outlineLevelRow="1" outlineLevelCol="1" x14ac:dyDescent="0.25"/>
  <cols>
    <col min="1" max="1" width="1.5703125" customWidth="1"/>
    <col min="2" max="5" width="12.140625" customWidth="1"/>
    <col min="6" max="6" width="2.140625" customWidth="1"/>
    <col min="7" max="9" width="16.5703125" hidden="1" customWidth="1" outlineLevel="1"/>
    <col min="10" max="10" width="17.85546875" hidden="1" customWidth="1" outlineLevel="1"/>
    <col min="11" max="11" width="11.140625" hidden="1" customWidth="1" outlineLevel="1"/>
    <col min="12" max="12" width="12.5703125" customWidth="1" collapsed="1"/>
    <col min="13" max="13" width="17.85546875" customWidth="1"/>
    <col min="14" max="14" width="52.42578125" customWidth="1"/>
    <col min="15" max="15" width="47.85546875" customWidth="1"/>
    <col min="16" max="16" width="47" customWidth="1"/>
    <col min="17" max="17" width="14.42578125" customWidth="1"/>
    <col min="18" max="18" width="12.7109375" hidden="1" customWidth="1" outlineLevel="1"/>
    <col min="19" max="19" width="12.7109375" customWidth="1" collapsed="1"/>
    <col min="20" max="30" width="12.7109375" customWidth="1"/>
    <col min="31" max="31" width="9.140625" customWidth="1"/>
    <col min="32" max="33" width="0" hidden="1" customWidth="1"/>
    <col min="34" max="16384" width="9.140625" hidden="1"/>
  </cols>
  <sheetData>
    <row r="1" spans="2:31" x14ac:dyDescent="0.25"/>
    <row r="2" spans="2:31" ht="20.25" thickBot="1" x14ac:dyDescent="0.3">
      <c r="B2" s="162" t="s">
        <v>23</v>
      </c>
      <c r="N2" s="164"/>
      <c r="O2" s="164"/>
      <c r="P2" s="164"/>
      <c r="Q2" s="164"/>
    </row>
    <row r="3" spans="2:31" ht="18.75" thickTop="1" thickBot="1" x14ac:dyDescent="0.3">
      <c r="B3" s="163" t="s">
        <v>22</v>
      </c>
      <c r="N3" s="165"/>
      <c r="O3" s="165"/>
      <c r="P3" s="165"/>
      <c r="Q3" s="165"/>
    </row>
    <row r="4" spans="2:31" ht="20.25" customHeight="1" thickTop="1" x14ac:dyDescent="0.25">
      <c r="B4" s="237" t="s">
        <v>1278</v>
      </c>
      <c r="C4" s="237"/>
      <c r="D4" s="237"/>
      <c r="E4" s="237"/>
      <c r="F4" s="237"/>
      <c r="G4" s="175"/>
      <c r="H4" s="175"/>
      <c r="I4" s="175"/>
    </row>
    <row r="5" spans="2:31" ht="15.75" thickBot="1" x14ac:dyDescent="0.3">
      <c r="B5" s="238"/>
      <c r="C5" s="238"/>
      <c r="D5" s="238"/>
      <c r="E5" s="238"/>
      <c r="F5" s="238"/>
      <c r="G5" s="175"/>
      <c r="H5" s="175"/>
      <c r="I5" s="175"/>
    </row>
    <row r="6" spans="2:31" ht="15.75" thickBot="1" x14ac:dyDescent="0.3">
      <c r="L6" s="256" t="s">
        <v>1353</v>
      </c>
      <c r="M6" s="254"/>
      <c r="N6" s="254"/>
      <c r="O6" s="254" t="s">
        <v>1356</v>
      </c>
      <c r="P6" s="254"/>
      <c r="Q6" s="255"/>
    </row>
    <row r="7" spans="2:31" x14ac:dyDescent="0.25">
      <c r="L7" s="137" t="s">
        <v>1351</v>
      </c>
      <c r="M7" s="138" t="s">
        <v>32</v>
      </c>
      <c r="N7" s="139" t="s">
        <v>1241</v>
      </c>
      <c r="O7" s="139"/>
      <c r="P7" s="139"/>
      <c r="Q7" s="140">
        <v>-10000</v>
      </c>
      <c r="S7" s="160">
        <v>-0.2</v>
      </c>
      <c r="T7" s="132">
        <v>-15</v>
      </c>
      <c r="U7" s="132"/>
      <c r="V7" s="132"/>
      <c r="W7" s="132"/>
      <c r="X7" s="132"/>
      <c r="Y7" s="132"/>
      <c r="Z7" s="132"/>
      <c r="AA7" s="132"/>
      <c r="AB7" s="132"/>
      <c r="AC7" s="132"/>
      <c r="AD7" s="132"/>
      <c r="AE7" s="133"/>
    </row>
    <row r="8" spans="2:31" ht="15.75" thickBot="1" x14ac:dyDescent="0.3">
      <c r="L8" s="131" t="s">
        <v>1354</v>
      </c>
      <c r="M8" s="136" t="s">
        <v>32</v>
      </c>
      <c r="N8" s="130" t="s">
        <v>1253</v>
      </c>
      <c r="O8" s="130"/>
      <c r="P8" s="130"/>
      <c r="Q8" s="135">
        <v>10000</v>
      </c>
      <c r="S8" s="161">
        <v>0.2</v>
      </c>
      <c r="T8" s="130">
        <v>15</v>
      </c>
      <c r="U8" s="130"/>
      <c r="V8" s="130"/>
      <c r="W8" s="130"/>
      <c r="X8" s="130"/>
      <c r="Y8" s="130"/>
      <c r="Z8" s="130"/>
      <c r="AA8" s="130"/>
      <c r="AB8" s="130"/>
      <c r="AC8" s="130"/>
      <c r="AD8" s="130"/>
      <c r="AE8" s="134"/>
    </row>
    <row r="9" spans="2:31" ht="15.75" hidden="1" outlineLevel="1" thickBot="1" x14ac:dyDescent="0.3">
      <c r="M9" s="3"/>
      <c r="S9">
        <v>1</v>
      </c>
      <c r="T9">
        <v>2</v>
      </c>
      <c r="U9">
        <v>3</v>
      </c>
      <c r="V9">
        <v>4</v>
      </c>
      <c r="W9">
        <v>5</v>
      </c>
      <c r="X9">
        <v>6</v>
      </c>
      <c r="Y9">
        <v>7</v>
      </c>
      <c r="Z9">
        <v>8</v>
      </c>
      <c r="AA9">
        <v>9</v>
      </c>
      <c r="AB9">
        <v>11</v>
      </c>
      <c r="AC9">
        <v>12</v>
      </c>
      <c r="AD9">
        <v>13</v>
      </c>
      <c r="AE9">
        <v>14</v>
      </c>
    </row>
    <row r="10" spans="2:31" ht="21.75" collapsed="1" thickBot="1" x14ac:dyDescent="0.4">
      <c r="G10" s="261"/>
      <c r="H10" s="261"/>
      <c r="I10" s="261"/>
      <c r="J10" s="261"/>
      <c r="K10" s="262"/>
      <c r="L10" s="251" t="s">
        <v>1313</v>
      </c>
      <c r="M10" s="252"/>
      <c r="N10" s="252"/>
      <c r="O10" s="252"/>
      <c r="P10" s="252"/>
      <c r="Q10" s="253"/>
      <c r="S10" s="266" t="s">
        <v>1310</v>
      </c>
      <c r="T10" s="267"/>
      <c r="U10" s="267"/>
      <c r="V10" s="267"/>
      <c r="W10" s="267"/>
      <c r="X10" s="267"/>
      <c r="Y10" s="267"/>
      <c r="Z10" s="267"/>
      <c r="AA10" s="267"/>
      <c r="AB10" s="267"/>
      <c r="AC10" s="267"/>
      <c r="AD10" s="267"/>
      <c r="AE10" s="268"/>
    </row>
    <row r="11" spans="2:31" ht="120.75" thickBot="1" x14ac:dyDescent="0.3">
      <c r="B11" s="94" t="s">
        <v>1363</v>
      </c>
      <c r="C11" s="95" t="s">
        <v>10</v>
      </c>
      <c r="D11" s="119" t="s">
        <v>1303</v>
      </c>
      <c r="E11" s="120" t="s">
        <v>1304</v>
      </c>
      <c r="G11" s="21" t="s">
        <v>1363</v>
      </c>
      <c r="H11" s="210" t="s">
        <v>1366</v>
      </c>
      <c r="I11" s="210" t="s">
        <v>1368</v>
      </c>
      <c r="J11" s="22" t="s">
        <v>1365</v>
      </c>
      <c r="K11" s="23" t="s">
        <v>6</v>
      </c>
      <c r="L11" s="113" t="s">
        <v>1352</v>
      </c>
      <c r="M11" s="205" t="s">
        <v>1364</v>
      </c>
      <c r="N11" s="204" t="s">
        <v>20</v>
      </c>
      <c r="O11" s="204" t="s">
        <v>1282</v>
      </c>
      <c r="P11" s="204" t="s">
        <v>1020</v>
      </c>
      <c r="Q11" s="203" t="s">
        <v>17</v>
      </c>
      <c r="S11" s="189" t="s">
        <v>1007</v>
      </c>
      <c r="T11" s="190" t="s">
        <v>1008</v>
      </c>
      <c r="U11" s="190" t="s">
        <v>1009</v>
      </c>
      <c r="V11" s="190" t="s">
        <v>1010</v>
      </c>
      <c r="W11" s="190" t="s">
        <v>1011</v>
      </c>
      <c r="X11" s="190" t="s">
        <v>1012</v>
      </c>
      <c r="Y11" s="190" t="s">
        <v>1013</v>
      </c>
      <c r="Z11" s="190" t="s">
        <v>1014</v>
      </c>
      <c r="AA11" s="190" t="s">
        <v>1015</v>
      </c>
      <c r="AB11" s="190" t="s">
        <v>1016</v>
      </c>
      <c r="AC11" s="190" t="s">
        <v>1017</v>
      </c>
      <c r="AD11" s="190" t="s">
        <v>1018</v>
      </c>
      <c r="AE11" s="191" t="s">
        <v>1019</v>
      </c>
    </row>
    <row r="12" spans="2:31" ht="30.75" hidden="1" outlineLevel="1" thickBot="1" x14ac:dyDescent="0.3">
      <c r="B12" s="197" t="s">
        <v>1363</v>
      </c>
      <c r="C12" s="198" t="s">
        <v>1305</v>
      </c>
      <c r="D12" s="199" t="s">
        <v>1306</v>
      </c>
      <c r="E12" s="200" t="s">
        <v>1307</v>
      </c>
      <c r="G12" s="201" t="s">
        <v>1363</v>
      </c>
      <c r="H12" s="201" t="s">
        <v>1348</v>
      </c>
      <c r="I12" s="201" t="s">
        <v>1367</v>
      </c>
      <c r="J12" s="201" t="s">
        <v>1361</v>
      </c>
      <c r="K12" s="202" t="s">
        <v>6</v>
      </c>
      <c r="L12" s="21" t="s">
        <v>1350</v>
      </c>
      <c r="M12" s="150" t="s">
        <v>18</v>
      </c>
      <c r="N12" s="39" t="s">
        <v>1290</v>
      </c>
      <c r="O12" s="39" t="s">
        <v>7</v>
      </c>
      <c r="P12" s="40" t="s">
        <v>1273</v>
      </c>
      <c r="Q12" s="40" t="s">
        <v>19</v>
      </c>
      <c r="R12" s="145" t="s">
        <v>1355</v>
      </c>
      <c r="S12" s="21" t="s">
        <v>1028</v>
      </c>
      <c r="T12" s="22" t="s">
        <v>1008</v>
      </c>
      <c r="U12" s="22" t="s">
        <v>1029</v>
      </c>
      <c r="V12" s="22" t="s">
        <v>1030</v>
      </c>
      <c r="W12" s="22" t="s">
        <v>1031</v>
      </c>
      <c r="X12" s="22" t="s">
        <v>1032</v>
      </c>
      <c r="Y12" s="22" t="s">
        <v>1033</v>
      </c>
      <c r="Z12" s="22" t="s">
        <v>1034</v>
      </c>
      <c r="AA12" s="22" t="s">
        <v>1035</v>
      </c>
      <c r="AB12" s="22" t="s">
        <v>1036</v>
      </c>
      <c r="AC12" s="22" t="s">
        <v>1037</v>
      </c>
      <c r="AD12" s="22" t="s">
        <v>1038</v>
      </c>
      <c r="AE12" s="23" t="s">
        <v>1039</v>
      </c>
    </row>
    <row r="13" spans="2:31" ht="30" customHeight="1" collapsed="1" x14ac:dyDescent="0.25">
      <c r="B13" s="222" t="s">
        <v>1297</v>
      </c>
      <c r="C13" s="223">
        <f>SUMIFS(Surplus[Surplus],Surplus[Sector],TPBE_Surplus[[#This Row],[Sector]])</f>
        <v>0</v>
      </c>
      <c r="D13" s="224">
        <f>SUMIFS(Requests[Adj. Amount],Requests[Sector],TPBE_Surplus[[#This Row],[Sector]],Requests[Adj. Amount],"&gt;0")</f>
        <v>0</v>
      </c>
      <c r="E13" s="215">
        <f>TPBE_Surplus[[#This Row],[FC Surplus]]-TPBE_Surplus[[#This Row],[Reallocated]]</f>
        <v>0</v>
      </c>
      <c r="G13" s="183" t="str">
        <f>_xlfn.IFNA(INDEX(TPBE[Group],MATCH(Requests[[#This Row],[TPBE]],TPBE[TPBE],0)),"")</f>
        <v/>
      </c>
      <c r="H13" s="211">
        <f>SUMIFS(Surplus[Surplus],Surplus[TPBE],Requests[[#This Row],[TPBE]])</f>
        <v>0</v>
      </c>
      <c r="I13" s="211">
        <f>SUMIFS(Requests[Adj. Amount],Requests[Adj. Amount],"&gt;0",Requests[TPBE],Requests[[#This Row],[TPBE]])</f>
        <v>0</v>
      </c>
      <c r="J13" s="178" t="b">
        <f>SUMIFS(Requests[Adj. Amount],Requests[Adj. Amount],"&gt;0",Requests[Sector],Requests[[#This Row],[Sector]],Requests[Sector],"&lt;&gt;")&lt;=SUMIFS(Surplus[Surplus],Surplus[Sector],Requests[[#This Row],[Sector]])</f>
        <v>1</v>
      </c>
      <c r="K13" s="185">
        <f>ROW()-ROW(Requests[[#Headers],[Index]])</f>
        <v>1</v>
      </c>
      <c r="L13" s="206"/>
      <c r="M13" s="63"/>
      <c r="N13" s="153"/>
      <c r="O13" s="156"/>
      <c r="P13" s="156"/>
      <c r="Q13" s="115"/>
      <c r="R13" s="146">
        <f>CHOOSE(_xlfn.IFNA(MATCH(Requests[[#This Row],[Reallocation Type]],{"From","To"},0),2),-1,1)*ABS(Requests[[#This Row],[Amount]])</f>
        <v>0</v>
      </c>
      <c r="S13" s="82"/>
      <c r="T13" s="83"/>
      <c r="U13" s="83"/>
      <c r="V13" s="83"/>
      <c r="W13" s="83"/>
      <c r="X13" s="83"/>
      <c r="Y13" s="83"/>
      <c r="Z13" s="83"/>
      <c r="AA13" s="83"/>
      <c r="AB13" s="83"/>
      <c r="AC13" s="83"/>
      <c r="AD13" s="83"/>
      <c r="AE13" s="77"/>
    </row>
    <row r="14" spans="2:31" ht="30" customHeight="1" x14ac:dyDescent="0.25">
      <c r="B14" s="225" t="s">
        <v>32</v>
      </c>
      <c r="C14" s="214">
        <f>SUMIFS(Surplus[Surplus],Surplus[Sector],TPBE_Surplus[[#This Row],[Sector]])</f>
        <v>0</v>
      </c>
      <c r="D14" s="226">
        <f>SUMIFS(Requests[Adj. Amount],Requests[Sector],TPBE_Surplus[[#This Row],[Sector]],Requests[Adj. Amount],"&gt;0")</f>
        <v>0</v>
      </c>
      <c r="E14" s="216">
        <f>TPBE_Surplus[[#This Row],[FC Surplus]]-TPBE_Surplus[[#This Row],[Reallocated]]</f>
        <v>0</v>
      </c>
      <c r="G14" s="183" t="str">
        <f>_xlfn.IFNA(INDEX(TPBE[Group],MATCH(Requests[[#This Row],[TPBE]],TPBE[TPBE],0)),"")</f>
        <v/>
      </c>
      <c r="H14" s="212">
        <f>SUMIFS(Surplus[Surplus],Surplus[TPBE],Requests[[#This Row],[TPBE]])</f>
        <v>0</v>
      </c>
      <c r="I14" s="212">
        <f>SUMIFS(Requests[Adj. Amount],Requests[Adj. Amount],"&gt;0",Requests[TPBE],Requests[[#This Row],[TPBE]])</f>
        <v>0</v>
      </c>
      <c r="J14" s="179" t="b">
        <f>SUMIFS(Requests[Adj. Amount],Requests[Adj. Amount],"&gt;0",Requests[Sector],Requests[[#This Row],[Sector]],Requests[Sector],"&lt;&gt;")&lt;=SUMIFS(Surplus[Surplus],Surplus[Sector],Requests[[#This Row],[Sector]])</f>
        <v>1</v>
      </c>
      <c r="K14" s="186">
        <f>ROW()-ROW(Requests[[#Headers],[Index]])</f>
        <v>2</v>
      </c>
      <c r="L14" s="207"/>
      <c r="M14" s="67"/>
      <c r="N14" s="154"/>
      <c r="O14" s="154"/>
      <c r="P14" s="154"/>
      <c r="Q14" s="116"/>
      <c r="R14" s="147">
        <f>CHOOSE(_xlfn.IFNA(MATCH(Requests[[#This Row],[Reallocation Type]],{"From","To"},0),2),-1,1)*ABS(Requests[[#This Row],[Amount]])</f>
        <v>0</v>
      </c>
      <c r="S14" s="84"/>
      <c r="T14" s="85"/>
      <c r="U14" s="85"/>
      <c r="V14" s="85"/>
      <c r="W14" s="85"/>
      <c r="X14" s="85"/>
      <c r="Y14" s="85"/>
      <c r="Z14" s="85"/>
      <c r="AA14" s="85"/>
      <c r="AB14" s="85"/>
      <c r="AC14" s="85"/>
      <c r="AD14" s="85"/>
      <c r="AE14" s="78"/>
    </row>
    <row r="15" spans="2:31" ht="30" customHeight="1" x14ac:dyDescent="0.25">
      <c r="B15" s="225" t="s">
        <v>1347</v>
      </c>
      <c r="C15" s="214">
        <f>SUMIFS(Surplus[Surplus],Surplus[Sector],TPBE_Surplus[[#This Row],[Sector]])</f>
        <v>0</v>
      </c>
      <c r="D15" s="226">
        <f>SUMIFS(Requests[Adj. Amount],Requests[Sector],TPBE_Surplus[[#This Row],[Sector]],Requests[Adj. Amount],"&gt;0")</f>
        <v>0</v>
      </c>
      <c r="E15" s="216">
        <f>TPBE_Surplus[[#This Row],[FC Surplus]]-TPBE_Surplus[[#This Row],[Reallocated]]</f>
        <v>0</v>
      </c>
      <c r="G15" s="183" t="str">
        <f>_xlfn.IFNA(INDEX(TPBE[Group],MATCH(Requests[[#This Row],[TPBE]],TPBE[TPBE],0)),"")</f>
        <v/>
      </c>
      <c r="H15" s="212">
        <f>SUMIFS(Surplus[Surplus],Surplus[TPBE],Requests[[#This Row],[TPBE]])</f>
        <v>0</v>
      </c>
      <c r="I15" s="212">
        <f>SUMIFS(Requests[Adj. Amount],Requests[Adj. Amount],"&gt;0",Requests[TPBE],Requests[[#This Row],[TPBE]])</f>
        <v>0</v>
      </c>
      <c r="J15" s="179" t="b">
        <f>SUMIFS(Requests[Adj. Amount],Requests[Adj. Amount],"&gt;0",Requests[Sector],Requests[[#This Row],[Sector]],Requests[Sector],"&lt;&gt;")&lt;=SUMIFS(Surplus[Surplus],Surplus[Sector],Requests[[#This Row],[Sector]])</f>
        <v>1</v>
      </c>
      <c r="K15" s="186">
        <f>ROW()-ROW(Requests[[#Headers],[Index]])</f>
        <v>3</v>
      </c>
      <c r="L15" s="207"/>
      <c r="M15" s="67"/>
      <c r="N15" s="154"/>
      <c r="O15" s="154"/>
      <c r="P15" s="154"/>
      <c r="Q15" s="116"/>
      <c r="R15" s="147">
        <f>CHOOSE(_xlfn.IFNA(MATCH(Requests[[#This Row],[Reallocation Type]],{"From","To"},0),2),-1,1)*ABS(Requests[[#This Row],[Amount]])</f>
        <v>0</v>
      </c>
      <c r="S15" s="84"/>
      <c r="T15" s="85"/>
      <c r="U15" s="85"/>
      <c r="V15" s="85"/>
      <c r="W15" s="85"/>
      <c r="X15" s="85"/>
      <c r="Y15" s="85"/>
      <c r="Z15" s="85"/>
      <c r="AA15" s="85"/>
      <c r="AB15" s="85"/>
      <c r="AC15" s="85"/>
      <c r="AD15" s="85"/>
      <c r="AE15" s="78"/>
    </row>
    <row r="16" spans="2:31" ht="30" customHeight="1" x14ac:dyDescent="0.25">
      <c r="B16" s="225" t="s">
        <v>1383</v>
      </c>
      <c r="C16" s="214">
        <f>SUMIFS(Surplus[Surplus],Surplus[Sector],TPBE_Surplus[[#This Row],[Sector]])</f>
        <v>0</v>
      </c>
      <c r="D16" s="226">
        <f>SUMIFS(Requests[Adj. Amount],Requests[Sector],TPBE_Surplus[[#This Row],[Sector]],Requests[Adj. Amount],"&gt;0")</f>
        <v>0</v>
      </c>
      <c r="E16" s="216">
        <f>TPBE_Surplus[[#This Row],[FC Surplus]]-TPBE_Surplus[[#This Row],[Reallocated]]</f>
        <v>0</v>
      </c>
      <c r="G16" s="183" t="str">
        <f>_xlfn.IFNA(INDEX(TPBE[Group],MATCH(Requests[[#This Row],[TPBE]],TPBE[TPBE],0)),"")</f>
        <v/>
      </c>
      <c r="H16" s="212">
        <f>SUMIFS(Surplus[Surplus],Surplus[TPBE],Requests[[#This Row],[TPBE]])</f>
        <v>0</v>
      </c>
      <c r="I16" s="212">
        <f>SUMIFS(Requests[Adj. Amount],Requests[Adj. Amount],"&gt;0",Requests[TPBE],Requests[[#This Row],[TPBE]])</f>
        <v>0</v>
      </c>
      <c r="J16" s="179" t="b">
        <f>SUMIFS(Requests[Adj. Amount],Requests[Adj. Amount],"&gt;0",Requests[Sector],Requests[[#This Row],[Sector]],Requests[Sector],"&lt;&gt;")&lt;=SUMIFS(Surplus[Surplus],Surplus[Sector],Requests[[#This Row],[Sector]])</f>
        <v>1</v>
      </c>
      <c r="K16" s="186">
        <f>ROW()-ROW(Requests[[#Headers],[Index]])</f>
        <v>4</v>
      </c>
      <c r="L16" s="207"/>
      <c r="M16" s="67"/>
      <c r="N16" s="154"/>
      <c r="O16" s="154"/>
      <c r="P16" s="154"/>
      <c r="Q16" s="116"/>
      <c r="R16" s="147">
        <f>CHOOSE(_xlfn.IFNA(MATCH(Requests[[#This Row],[Reallocation Type]],{"From","To"},0),2),-1,1)*ABS(Requests[[#This Row],[Amount]])</f>
        <v>0</v>
      </c>
      <c r="S16" s="84"/>
      <c r="T16" s="85"/>
      <c r="U16" s="85"/>
      <c r="V16" s="85"/>
      <c r="W16" s="85"/>
      <c r="X16" s="85"/>
      <c r="Y16" s="85"/>
      <c r="Z16" s="85"/>
      <c r="AA16" s="85"/>
      <c r="AB16" s="85"/>
      <c r="AC16" s="85"/>
      <c r="AD16" s="85"/>
      <c r="AE16" s="78"/>
    </row>
    <row r="17" spans="2:31" ht="30" customHeight="1" x14ac:dyDescent="0.25">
      <c r="B17" s="225" t="s">
        <v>1386</v>
      </c>
      <c r="C17" s="229">
        <f>SUMIFS(Surplus[Surplus],Surplus[Sector],TPBE_Surplus[[#This Row],[Sector]])</f>
        <v>0</v>
      </c>
      <c r="D17" s="230">
        <f>SUMIFS(Requests[Adj. Amount],Requests[Sector],TPBE_Surplus[[#This Row],[Sector]],Requests[Adj. Amount],"&gt;0")</f>
        <v>0</v>
      </c>
      <c r="E17" s="231">
        <f>TPBE_Surplus[[#This Row],[FC Surplus]]-TPBE_Surplus[[#This Row],[Reallocated]]</f>
        <v>0</v>
      </c>
      <c r="G17" s="183" t="str">
        <f>_xlfn.IFNA(INDEX(TPBE[Group],MATCH(Requests[[#This Row],[TPBE]],TPBE[TPBE],0)),"")</f>
        <v/>
      </c>
      <c r="H17" s="212">
        <f>SUMIFS(Surplus[Surplus],Surplus[TPBE],Requests[[#This Row],[TPBE]])</f>
        <v>0</v>
      </c>
      <c r="I17" s="212">
        <f>SUMIFS(Requests[Adj. Amount],Requests[Adj. Amount],"&gt;0",Requests[TPBE],Requests[[#This Row],[TPBE]])</f>
        <v>0</v>
      </c>
      <c r="J17" s="180" t="b">
        <f>SUMIFS(Requests[Adj. Amount],Requests[Adj. Amount],"&gt;0",Requests[Sector],Requests[[#This Row],[Sector]],Requests[Sector],"&lt;&gt;")&lt;=SUMIFS(Surplus[Surplus],Surplus[Sector],Requests[[#This Row],[Sector]])</f>
        <v>1</v>
      </c>
      <c r="K17" s="187">
        <f>ROW()-ROW(Requests[[#Headers],[Index]])</f>
        <v>5</v>
      </c>
      <c r="L17" s="208"/>
      <c r="M17" s="67"/>
      <c r="N17" s="154"/>
      <c r="O17" s="154"/>
      <c r="P17" s="157"/>
      <c r="Q17" s="116"/>
      <c r="R17" s="147">
        <f>CHOOSE(_xlfn.IFNA(MATCH(Requests[[#This Row],[Reallocation Type]],{"From","To"},0),2),-1,1)*ABS(Requests[[#This Row],[Amount]])</f>
        <v>0</v>
      </c>
      <c r="S17" s="121"/>
      <c r="T17" s="122"/>
      <c r="U17" s="85"/>
      <c r="V17" s="85"/>
      <c r="W17" s="85"/>
      <c r="X17" s="85"/>
      <c r="Y17" s="85"/>
      <c r="Z17" s="85"/>
      <c r="AA17" s="85"/>
      <c r="AB17" s="85"/>
      <c r="AC17" s="85"/>
      <c r="AD17" s="85"/>
      <c r="AE17" s="78"/>
    </row>
    <row r="18" spans="2:31" ht="30" customHeight="1" x14ac:dyDescent="0.25">
      <c r="B18" s="225" t="s">
        <v>1387</v>
      </c>
      <c r="C18" s="229">
        <f>SUMIFS(Surplus[Surplus],Surplus[Sector],TPBE_Surplus[[#This Row],[Sector]])</f>
        <v>0</v>
      </c>
      <c r="D18" s="230">
        <f>SUMIFS(Requests[Adj. Amount],Requests[Sector],TPBE_Surplus[[#This Row],[Sector]],Requests[Adj. Amount],"&gt;0")</f>
        <v>0</v>
      </c>
      <c r="E18" s="231">
        <f>TPBE_Surplus[[#This Row],[FC Surplus]]-TPBE_Surplus[[#This Row],[Reallocated]]</f>
        <v>0</v>
      </c>
      <c r="G18" s="183" t="str">
        <f>_xlfn.IFNA(INDEX(TPBE[Group],MATCH(Requests[[#This Row],[TPBE]],TPBE[TPBE],0)),"")</f>
        <v/>
      </c>
      <c r="H18" s="212">
        <f>SUMIFS(Surplus[Surplus],Surplus[TPBE],Requests[[#This Row],[TPBE]])</f>
        <v>0</v>
      </c>
      <c r="I18" s="212">
        <f>SUMIFS(Requests[Adj. Amount],Requests[Adj. Amount],"&gt;0",Requests[TPBE],Requests[[#This Row],[TPBE]])</f>
        <v>0</v>
      </c>
      <c r="J18" s="180" t="b">
        <f>SUMIFS(Requests[Adj. Amount],Requests[Adj. Amount],"&gt;0",Requests[Sector],Requests[[#This Row],[Sector]],Requests[Sector],"&lt;&gt;")&lt;=SUMIFS(Surplus[Surplus],Surplus[Sector],Requests[[#This Row],[Sector]])</f>
        <v>1</v>
      </c>
      <c r="K18" s="187">
        <f>ROW()-ROW(Requests[[#Headers],[Index]])</f>
        <v>6</v>
      </c>
      <c r="L18" s="208"/>
      <c r="M18" s="151"/>
      <c r="N18" s="154"/>
      <c r="O18" s="154"/>
      <c r="P18" s="157"/>
      <c r="Q18" s="116"/>
      <c r="R18" s="147">
        <f>CHOOSE(_xlfn.IFNA(MATCH(Requests[[#This Row],[Reallocation Type]],{"From","To"},0),2),-1,1)*ABS(Requests[[#This Row],[Amount]])</f>
        <v>0</v>
      </c>
      <c r="S18" s="121"/>
      <c r="T18" s="122"/>
      <c r="U18" s="85"/>
      <c r="V18" s="85"/>
      <c r="W18" s="85"/>
      <c r="X18" s="85"/>
      <c r="Y18" s="85"/>
      <c r="Z18" s="85"/>
      <c r="AA18" s="85"/>
      <c r="AB18" s="85"/>
      <c r="AC18" s="85"/>
      <c r="AD18" s="85"/>
      <c r="AE18" s="78"/>
    </row>
    <row r="19" spans="2:31" ht="30" customHeight="1" thickBot="1" x14ac:dyDescent="0.3">
      <c r="B19" s="232" t="s">
        <v>40</v>
      </c>
      <c r="C19" s="227">
        <f>SUMIFS(Surplus[Surplus],Surplus[Sector],TPBE_Surplus[[#This Row],[Sector]])</f>
        <v>0</v>
      </c>
      <c r="D19" s="228">
        <f>SUMIFS(Requests[Adj. Amount],Requests[Sector],TPBE_Surplus[[#This Row],[Sector]],Requests[Adj. Amount],"&gt;0")</f>
        <v>0</v>
      </c>
      <c r="E19" s="217">
        <f>TPBE_Surplus[[#This Row],[FC Surplus]]-TPBE_Surplus[[#This Row],[Reallocated]]</f>
        <v>0</v>
      </c>
      <c r="G19" s="183" t="str">
        <f>_xlfn.IFNA(INDEX(TPBE[Group],MATCH(Requests[[#This Row],[TPBE]],TPBE[TPBE],0)),"")</f>
        <v/>
      </c>
      <c r="H19" s="212">
        <f>SUMIFS(Surplus[Surplus],Surplus[TPBE],Requests[[#This Row],[TPBE]])</f>
        <v>0</v>
      </c>
      <c r="I19" s="212">
        <f>SUMIFS(Requests[Adj. Amount],Requests[Adj. Amount],"&gt;0",Requests[TPBE],Requests[[#This Row],[TPBE]])</f>
        <v>0</v>
      </c>
      <c r="J19" s="180" t="b">
        <f>SUMIFS(Requests[Adj. Amount],Requests[Adj. Amount],"&gt;0",Requests[Sector],Requests[[#This Row],[Sector]],Requests[Sector],"&lt;&gt;")&lt;=SUMIFS(Surplus[Surplus],Surplus[Sector],Requests[[#This Row],[Sector]])</f>
        <v>1</v>
      </c>
      <c r="K19" s="187">
        <f>ROW()-ROW(Requests[[#Headers],[Index]])</f>
        <v>7</v>
      </c>
      <c r="L19" s="208"/>
      <c r="M19" s="151"/>
      <c r="N19" s="154"/>
      <c r="O19" s="154"/>
      <c r="P19" s="157"/>
      <c r="Q19" s="116"/>
      <c r="R19" s="147">
        <f>CHOOSE(_xlfn.IFNA(MATCH(Requests[[#This Row],[Reallocation Type]],{"From","To"},0),2),-1,1)*ABS(Requests[[#This Row],[Amount]])</f>
        <v>0</v>
      </c>
      <c r="S19" s="121"/>
      <c r="T19" s="122"/>
      <c r="U19" s="85"/>
      <c r="V19" s="85"/>
      <c r="W19" s="85"/>
      <c r="X19" s="85"/>
      <c r="Y19" s="85"/>
      <c r="Z19" s="85"/>
      <c r="AA19" s="85"/>
      <c r="AB19" s="85"/>
      <c r="AC19" s="85"/>
      <c r="AD19" s="85"/>
      <c r="AE19" s="78"/>
    </row>
    <row r="20" spans="2:31" ht="30" customHeight="1" thickBot="1" x14ac:dyDescent="0.3">
      <c r="B20" s="218" t="s">
        <v>1308</v>
      </c>
      <c r="C20" s="219">
        <f>SUBTOTAL(109,TPBE_Surplus[FC Surplus])</f>
        <v>0</v>
      </c>
      <c r="D20" s="220">
        <f>SUBTOTAL(109,TPBE_Surplus[Reallocated])</f>
        <v>0</v>
      </c>
      <c r="E20" s="221">
        <f>SUBTOTAL(109,TPBE_Surplus[Recovery])</f>
        <v>0</v>
      </c>
      <c r="G20" s="183" t="str">
        <f>_xlfn.IFNA(INDEX(TPBE[Group],MATCH(Requests[[#This Row],[TPBE]],TPBE[TPBE],0)),"")</f>
        <v/>
      </c>
      <c r="H20" s="212">
        <f>SUMIFS(Surplus[Surplus],Surplus[TPBE],Requests[[#This Row],[TPBE]])</f>
        <v>0</v>
      </c>
      <c r="I20" s="212">
        <f>SUMIFS(Requests[Adj. Amount],Requests[Adj. Amount],"&gt;0",Requests[TPBE],Requests[[#This Row],[TPBE]])</f>
        <v>0</v>
      </c>
      <c r="J20" s="180" t="b">
        <f>SUMIFS(Requests[Adj. Amount],Requests[Adj. Amount],"&gt;0",Requests[Sector],Requests[[#This Row],[Sector]],Requests[Sector],"&lt;&gt;")&lt;=SUMIFS(Surplus[Surplus],Surplus[Sector],Requests[[#This Row],[Sector]])</f>
        <v>1</v>
      </c>
      <c r="K20" s="187">
        <f>ROW()-ROW(Requests[[#Headers],[Index]])</f>
        <v>8</v>
      </c>
      <c r="L20" s="208"/>
      <c r="M20" s="151"/>
      <c r="N20" s="154"/>
      <c r="O20" s="154"/>
      <c r="P20" s="157"/>
      <c r="Q20" s="116"/>
      <c r="R20" s="147">
        <f>CHOOSE(_xlfn.IFNA(MATCH(Requests[[#This Row],[Reallocation Type]],{"From","To"},0),2),-1,1)*ABS(Requests[[#This Row],[Amount]])</f>
        <v>0</v>
      </c>
      <c r="S20" s="121"/>
      <c r="T20" s="122"/>
      <c r="U20" s="85"/>
      <c r="V20" s="85"/>
      <c r="W20" s="85"/>
      <c r="X20" s="85"/>
      <c r="Y20" s="85"/>
      <c r="Z20" s="85"/>
      <c r="AA20" s="85"/>
      <c r="AB20" s="85"/>
      <c r="AC20" s="85"/>
      <c r="AD20" s="85"/>
      <c r="AE20" s="78"/>
    </row>
    <row r="21" spans="2:31" ht="30" customHeight="1" x14ac:dyDescent="0.25">
      <c r="G21" s="183" t="str">
        <f>_xlfn.IFNA(INDEX(TPBE[Group],MATCH(Requests[[#This Row],[TPBE]],TPBE[TPBE],0)),"")</f>
        <v/>
      </c>
      <c r="H21" s="212">
        <f>SUMIFS(Surplus[Surplus],Surplus[TPBE],Requests[[#This Row],[TPBE]])</f>
        <v>0</v>
      </c>
      <c r="I21" s="212">
        <f>SUMIFS(Requests[Adj. Amount],Requests[Adj. Amount],"&gt;0",Requests[TPBE],Requests[[#This Row],[TPBE]])</f>
        <v>0</v>
      </c>
      <c r="J21" s="180" t="b">
        <f>SUMIFS(Requests[Adj. Amount],Requests[Adj. Amount],"&gt;0",Requests[Sector],Requests[[#This Row],[Sector]],Requests[Sector],"&lt;&gt;")&lt;=SUMIFS(Surplus[Surplus],Surplus[Sector],Requests[[#This Row],[Sector]])</f>
        <v>1</v>
      </c>
      <c r="K21" s="187">
        <f>ROW()-ROW(Requests[[#Headers],[Index]])</f>
        <v>9</v>
      </c>
      <c r="L21" s="208"/>
      <c r="M21" s="151"/>
      <c r="N21" s="154"/>
      <c r="O21" s="154"/>
      <c r="P21" s="157"/>
      <c r="Q21" s="116"/>
      <c r="R21" s="147">
        <f>CHOOSE(_xlfn.IFNA(MATCH(Requests[[#This Row],[Reallocation Type]],{"From","To"},0),2),-1,1)*ABS(Requests[[#This Row],[Amount]])</f>
        <v>0</v>
      </c>
      <c r="S21" s="121"/>
      <c r="T21" s="122"/>
      <c r="U21" s="85"/>
      <c r="V21" s="85"/>
      <c r="W21" s="85"/>
      <c r="X21" s="85"/>
      <c r="Y21" s="85"/>
      <c r="Z21" s="85"/>
      <c r="AA21" s="85"/>
      <c r="AB21" s="85"/>
      <c r="AC21" s="85"/>
      <c r="AD21" s="85"/>
      <c r="AE21" s="78"/>
    </row>
    <row r="22" spans="2:31" ht="30" customHeight="1" x14ac:dyDescent="0.25">
      <c r="G22" s="183" t="str">
        <f>_xlfn.IFNA(INDEX(TPBE[Group],MATCH(Requests[[#This Row],[TPBE]],TPBE[TPBE],0)),"")</f>
        <v/>
      </c>
      <c r="H22" s="212">
        <f>SUMIFS(Surplus[Surplus],Surplus[TPBE],Requests[[#This Row],[TPBE]])</f>
        <v>0</v>
      </c>
      <c r="I22" s="212">
        <f>SUMIFS(Requests[Adj. Amount],Requests[Adj. Amount],"&gt;0",Requests[TPBE],Requests[[#This Row],[TPBE]])</f>
        <v>0</v>
      </c>
      <c r="J22" s="180" t="b">
        <f>SUMIFS(Requests[Adj. Amount],Requests[Adj. Amount],"&gt;0",Requests[Sector],Requests[[#This Row],[Sector]],Requests[Sector],"&lt;&gt;")&lt;=SUMIFS(Surplus[Surplus],Surplus[Sector],Requests[[#This Row],[Sector]])</f>
        <v>1</v>
      </c>
      <c r="K22" s="187">
        <f>ROW()-ROW(Requests[[#Headers],[Index]])</f>
        <v>10</v>
      </c>
      <c r="L22" s="208"/>
      <c r="M22" s="151"/>
      <c r="N22" s="154"/>
      <c r="O22" s="154"/>
      <c r="P22" s="157"/>
      <c r="Q22" s="116"/>
      <c r="R22" s="147">
        <f>CHOOSE(_xlfn.IFNA(MATCH(Requests[[#This Row],[Reallocation Type]],{"From","To"},0),2),-1,1)*ABS(Requests[[#This Row],[Amount]])</f>
        <v>0</v>
      </c>
      <c r="S22" s="121"/>
      <c r="T22" s="122"/>
      <c r="U22" s="85"/>
      <c r="V22" s="85"/>
      <c r="W22" s="85"/>
      <c r="X22" s="85"/>
      <c r="Y22" s="85"/>
      <c r="Z22" s="85"/>
      <c r="AA22" s="85"/>
      <c r="AB22" s="85"/>
      <c r="AC22" s="85"/>
      <c r="AD22" s="85"/>
      <c r="AE22" s="78"/>
    </row>
    <row r="23" spans="2:31" ht="30" customHeight="1" x14ac:dyDescent="0.25">
      <c r="G23" s="183" t="str">
        <f>_xlfn.IFNA(INDEX(TPBE[Group],MATCH(Requests[[#This Row],[TPBE]],TPBE[TPBE],0)),"")</f>
        <v/>
      </c>
      <c r="H23" s="212">
        <f>SUMIFS(Surplus[Surplus],Surplus[TPBE],Requests[[#This Row],[TPBE]])</f>
        <v>0</v>
      </c>
      <c r="I23" s="212">
        <f>SUMIFS(Requests[Adj. Amount],Requests[Adj. Amount],"&gt;0",Requests[TPBE],Requests[[#This Row],[TPBE]])</f>
        <v>0</v>
      </c>
      <c r="J23" s="180" t="b">
        <f>SUMIFS(Requests[Adj. Amount],Requests[Adj. Amount],"&gt;0",Requests[Sector],Requests[[#This Row],[Sector]],Requests[Sector],"&lt;&gt;")&lt;=SUMIFS(Surplus[Surplus],Surplus[Sector],Requests[[#This Row],[Sector]])</f>
        <v>1</v>
      </c>
      <c r="K23" s="187">
        <f>ROW()-ROW(Requests[[#Headers],[Index]])</f>
        <v>11</v>
      </c>
      <c r="L23" s="208"/>
      <c r="M23" s="151"/>
      <c r="N23" s="154"/>
      <c r="O23" s="154"/>
      <c r="P23" s="157"/>
      <c r="Q23" s="116"/>
      <c r="R23" s="147">
        <f>CHOOSE(_xlfn.IFNA(MATCH(Requests[[#This Row],[Reallocation Type]],{"From","To"},0),2),-1,1)*ABS(Requests[[#This Row],[Amount]])</f>
        <v>0</v>
      </c>
      <c r="S23" s="121"/>
      <c r="T23" s="122"/>
      <c r="U23" s="85"/>
      <c r="V23" s="85"/>
      <c r="W23" s="85"/>
      <c r="X23" s="85"/>
      <c r="Y23" s="85"/>
      <c r="Z23" s="85"/>
      <c r="AA23" s="85"/>
      <c r="AB23" s="85"/>
      <c r="AC23" s="85"/>
      <c r="AD23" s="85"/>
      <c r="AE23" s="78"/>
    </row>
    <row r="24" spans="2:31" ht="30" customHeight="1" x14ac:dyDescent="0.25">
      <c r="G24" s="183" t="str">
        <f>_xlfn.IFNA(INDEX(TPBE[Group],MATCH(Requests[[#This Row],[TPBE]],TPBE[TPBE],0)),"")</f>
        <v/>
      </c>
      <c r="H24" s="212">
        <f>SUMIFS(Surplus[Surplus],Surplus[TPBE],Requests[[#This Row],[TPBE]])</f>
        <v>0</v>
      </c>
      <c r="I24" s="212">
        <f>SUMIFS(Requests[Adj. Amount],Requests[Adj. Amount],"&gt;0",Requests[TPBE],Requests[[#This Row],[TPBE]])</f>
        <v>0</v>
      </c>
      <c r="J24" s="180" t="b">
        <f>SUMIFS(Requests[Adj. Amount],Requests[Adj. Amount],"&gt;0",Requests[Sector],Requests[[#This Row],[Sector]],Requests[Sector],"&lt;&gt;")&lt;=SUMIFS(Surplus[Surplus],Surplus[Sector],Requests[[#This Row],[Sector]])</f>
        <v>1</v>
      </c>
      <c r="K24" s="187">
        <f>ROW()-ROW(Requests[[#Headers],[Index]])</f>
        <v>12</v>
      </c>
      <c r="L24" s="208"/>
      <c r="M24" s="151"/>
      <c r="N24" s="154"/>
      <c r="O24" s="154"/>
      <c r="P24" s="157"/>
      <c r="Q24" s="116"/>
      <c r="R24" s="147">
        <f>CHOOSE(_xlfn.IFNA(MATCH(Requests[[#This Row],[Reallocation Type]],{"From","To"},0),2),-1,1)*ABS(Requests[[#This Row],[Amount]])</f>
        <v>0</v>
      </c>
      <c r="S24" s="121"/>
      <c r="T24" s="122"/>
      <c r="U24" s="85"/>
      <c r="V24" s="85"/>
      <c r="W24" s="85"/>
      <c r="X24" s="85"/>
      <c r="Y24" s="85"/>
      <c r="Z24" s="85"/>
      <c r="AA24" s="85"/>
      <c r="AB24" s="85"/>
      <c r="AC24" s="85"/>
      <c r="AD24" s="85"/>
      <c r="AE24" s="78"/>
    </row>
    <row r="25" spans="2:31" ht="30" customHeight="1" x14ac:dyDescent="0.25">
      <c r="G25" s="183" t="str">
        <f>_xlfn.IFNA(INDEX(TPBE[Group],MATCH(Requests[[#This Row],[TPBE]],TPBE[TPBE],0)),"")</f>
        <v/>
      </c>
      <c r="H25" s="212">
        <f>SUMIFS(Surplus[Surplus],Surplus[TPBE],Requests[[#This Row],[TPBE]])</f>
        <v>0</v>
      </c>
      <c r="I25" s="212">
        <f>SUMIFS(Requests[Adj. Amount],Requests[Adj. Amount],"&gt;0",Requests[TPBE],Requests[[#This Row],[TPBE]])</f>
        <v>0</v>
      </c>
      <c r="J25" s="179" t="b">
        <f>SUMIFS(Requests[Adj. Amount],Requests[Adj. Amount],"&gt;0",Requests[Sector],Requests[[#This Row],[Sector]],Requests[Sector],"&lt;&gt;")&lt;=SUMIFS(Surplus[Surplus],Surplus[Sector],Requests[[#This Row],[Sector]])</f>
        <v>1</v>
      </c>
      <c r="K25" s="186">
        <f>ROW()-ROW(Requests[[#Headers],[Index]])</f>
        <v>13</v>
      </c>
      <c r="L25" s="207"/>
      <c r="M25" s="151"/>
      <c r="N25" s="154"/>
      <c r="O25" s="158"/>
      <c r="P25" s="158"/>
      <c r="Q25" s="117"/>
      <c r="R25" s="148">
        <f>CHOOSE(_xlfn.IFNA(MATCH(Requests[[#This Row],[Reallocation Type]],{"From","To"},0),2),-1,1)*ABS(Requests[[#This Row],[Amount]])</f>
        <v>0</v>
      </c>
      <c r="S25" s="84"/>
      <c r="T25" s="85"/>
      <c r="U25" s="85"/>
      <c r="V25" s="85"/>
      <c r="W25" s="85"/>
      <c r="X25" s="85"/>
      <c r="Y25" s="85"/>
      <c r="Z25" s="85"/>
      <c r="AA25" s="85"/>
      <c r="AB25" s="85"/>
      <c r="AC25" s="85"/>
      <c r="AD25" s="85"/>
      <c r="AE25" s="78"/>
    </row>
    <row r="26" spans="2:31" ht="30" customHeight="1" x14ac:dyDescent="0.25">
      <c r="G26" s="183" t="str">
        <f>_xlfn.IFNA(INDEX(TPBE[Group],MATCH(Requests[[#This Row],[TPBE]],TPBE[TPBE],0)),"")</f>
        <v/>
      </c>
      <c r="H26" s="212">
        <f>SUMIFS(Surplus[Surplus],Surplus[TPBE],Requests[[#This Row],[TPBE]])</f>
        <v>0</v>
      </c>
      <c r="I26" s="212">
        <f>SUMIFS(Requests[Adj. Amount],Requests[Adj. Amount],"&gt;0",Requests[TPBE],Requests[[#This Row],[TPBE]])</f>
        <v>0</v>
      </c>
      <c r="J26" s="179" t="b">
        <f>SUMIFS(Requests[Adj. Amount],Requests[Adj. Amount],"&gt;0",Requests[Sector],Requests[[#This Row],[Sector]],Requests[Sector],"&lt;&gt;")&lt;=SUMIFS(Surplus[Surplus],Surplus[Sector],Requests[[#This Row],[Sector]])</f>
        <v>1</v>
      </c>
      <c r="K26" s="186">
        <f>ROW()-ROW(Requests[[#Headers],[Index]])</f>
        <v>14</v>
      </c>
      <c r="L26" s="207"/>
      <c r="M26" s="151"/>
      <c r="N26" s="154"/>
      <c r="O26" s="158"/>
      <c r="P26" s="158"/>
      <c r="Q26" s="117"/>
      <c r="R26" s="148">
        <f>CHOOSE(_xlfn.IFNA(MATCH(Requests[[#This Row],[Reallocation Type]],{"From","To"},0),2),-1,1)*ABS(Requests[[#This Row],[Amount]])</f>
        <v>0</v>
      </c>
      <c r="S26" s="84"/>
      <c r="T26" s="85"/>
      <c r="U26" s="85"/>
      <c r="V26" s="85"/>
      <c r="W26" s="85"/>
      <c r="X26" s="85"/>
      <c r="Y26" s="85"/>
      <c r="Z26" s="85"/>
      <c r="AA26" s="85"/>
      <c r="AB26" s="85"/>
      <c r="AC26" s="85"/>
      <c r="AD26" s="85"/>
      <c r="AE26" s="78"/>
    </row>
    <row r="27" spans="2:31" ht="30" customHeight="1" x14ac:dyDescent="0.25">
      <c r="G27" s="183" t="str">
        <f>_xlfn.IFNA(INDEX(TPBE[Group],MATCH(Requests[[#This Row],[TPBE]],TPBE[TPBE],0)),"")</f>
        <v/>
      </c>
      <c r="H27" s="212">
        <f>SUMIFS(Surplus[Surplus],Surplus[TPBE],Requests[[#This Row],[TPBE]])</f>
        <v>0</v>
      </c>
      <c r="I27" s="212">
        <f>SUMIFS(Requests[Adj. Amount],Requests[Adj. Amount],"&gt;0",Requests[TPBE],Requests[[#This Row],[TPBE]])</f>
        <v>0</v>
      </c>
      <c r="J27" s="179" t="b">
        <f>SUMIFS(Requests[Adj. Amount],Requests[Adj. Amount],"&gt;0",Requests[Sector],Requests[[#This Row],[Sector]],Requests[Sector],"&lt;&gt;")&lt;=SUMIFS(Surplus[Surplus],Surplus[Sector],Requests[[#This Row],[Sector]])</f>
        <v>1</v>
      </c>
      <c r="K27" s="186">
        <f>ROW()-ROW(Requests[[#Headers],[Index]])</f>
        <v>15</v>
      </c>
      <c r="L27" s="207"/>
      <c r="M27" s="151"/>
      <c r="N27" s="154"/>
      <c r="O27" s="158"/>
      <c r="P27" s="158"/>
      <c r="Q27" s="117"/>
      <c r="R27" s="148">
        <f>CHOOSE(_xlfn.IFNA(MATCH(Requests[[#This Row],[Reallocation Type]],{"From","To"},0),2),-1,1)*ABS(Requests[[#This Row],[Amount]])</f>
        <v>0</v>
      </c>
      <c r="S27" s="84"/>
      <c r="T27" s="85"/>
      <c r="U27" s="85"/>
      <c r="V27" s="85"/>
      <c r="W27" s="85"/>
      <c r="X27" s="85"/>
      <c r="Y27" s="85"/>
      <c r="Z27" s="85"/>
      <c r="AA27" s="85"/>
      <c r="AB27" s="85"/>
      <c r="AC27" s="85"/>
      <c r="AD27" s="85"/>
      <c r="AE27" s="78"/>
    </row>
    <row r="28" spans="2:31" ht="30" customHeight="1" thickBot="1" x14ac:dyDescent="0.3">
      <c r="G28" s="184" t="str">
        <f>_xlfn.IFNA(INDEX(TPBE[Group],MATCH(Requests[[#This Row],[TPBE]],TPBE[TPBE],0)),"")</f>
        <v/>
      </c>
      <c r="H28" s="213">
        <f>SUMIFS(Surplus[Surplus],Surplus[TPBE],Requests[[#This Row],[TPBE]])</f>
        <v>0</v>
      </c>
      <c r="I28" s="213">
        <f>SUMIFS(Requests[Adj. Amount],Requests[Adj. Amount],"&gt;0",Requests[TPBE],Requests[[#This Row],[TPBE]])</f>
        <v>0</v>
      </c>
      <c r="J28" s="181" t="b">
        <f>SUMIFS(Requests[Adj. Amount],Requests[Adj. Amount],"&gt;0",Requests[Sector],Requests[[#This Row],[Sector]],Requests[Sector],"&lt;&gt;")&lt;=SUMIFS(Surplus[Surplus],Surplus[Sector],Requests[[#This Row],[Sector]])</f>
        <v>1</v>
      </c>
      <c r="K28" s="188">
        <f>ROW()-ROW(Requests[[#Headers],[Index]])</f>
        <v>16</v>
      </c>
      <c r="L28" s="209"/>
      <c r="M28" s="152"/>
      <c r="N28" s="155"/>
      <c r="O28" s="159"/>
      <c r="P28" s="159"/>
      <c r="Q28" s="118"/>
      <c r="R28" s="149">
        <f>CHOOSE(_xlfn.IFNA(MATCH(Requests[[#This Row],[Reallocation Type]],{"From","To"},0),2),-1,1)*ABS(Requests[[#This Row],[Amount]])</f>
        <v>0</v>
      </c>
      <c r="S28" s="123"/>
      <c r="T28" s="91"/>
      <c r="U28" s="91"/>
      <c r="V28" s="91"/>
      <c r="W28" s="91"/>
      <c r="X28" s="91"/>
      <c r="Y28" s="91"/>
      <c r="Z28" s="91"/>
      <c r="AA28" s="91"/>
      <c r="AB28" s="91"/>
      <c r="AC28" s="91"/>
      <c r="AD28" s="91"/>
      <c r="AE28" s="79"/>
    </row>
    <row r="29" spans="2:31" ht="30" customHeight="1" thickBot="1" x14ac:dyDescent="0.3">
      <c r="G29" s="182"/>
      <c r="H29" s="182"/>
      <c r="I29" s="182"/>
      <c r="J29" s="124"/>
      <c r="K29" s="124"/>
      <c r="L29" s="124"/>
      <c r="M29" s="124"/>
      <c r="N29" s="125"/>
      <c r="O29" s="126"/>
      <c r="P29" s="21" t="s">
        <v>1349</v>
      </c>
      <c r="Q29" s="127">
        <f>SUMIFS(Requests[Adj. Amount],Requests[Adj. Amount],"&gt;0")</f>
        <v>0</v>
      </c>
      <c r="R29" s="127"/>
      <c r="S29" s="128">
        <f>SUBTOTAL(109,Requests[FTE])</f>
        <v>0</v>
      </c>
      <c r="T29" s="129">
        <f>SUBTOTAL(109,Requests[[Visits ]])</f>
        <v>0</v>
      </c>
      <c r="U29" s="129">
        <f>SUBTOTAL(109,Requests[NUISRI])</f>
        <v>0</v>
      </c>
      <c r="V29" s="129">
        <f>SUBTOTAL(109,Requests[HoC])</f>
        <v>0</v>
      </c>
      <c r="W29" s="129">
        <f>SUBTOTAL(109,Requests[Inpatient])</f>
        <v>0</v>
      </c>
      <c r="X29" s="129">
        <f>SUBTOTAL(109,Requests[IS])</f>
        <v>0</v>
      </c>
      <c r="Y29" s="129">
        <f>SUBTOTAL(109,Requests[AD])</f>
        <v>0</v>
      </c>
      <c r="Z29" s="129">
        <f>SUBTOTAL(109,Requests[GS])</f>
        <v>0</v>
      </c>
      <c r="AA29" s="129">
        <f>SUBTOTAL(109,Requests[MD-C])</f>
        <v>0</v>
      </c>
      <c r="AB29" s="129">
        <f>SUBTOTAL(109,Requests[CPA])</f>
        <v>0</v>
      </c>
      <c r="AC29" s="129">
        <f>SUBTOTAL(109,Requests[SPI])</f>
        <v>0</v>
      </c>
      <c r="AD29" s="129">
        <f>SUBTOTAL(109,Requests[SPGI])</f>
        <v>0</v>
      </c>
      <c r="AE29" s="129">
        <f>SUBTOTAL(109,Requests[MHS])</f>
        <v>0</v>
      </c>
    </row>
    <row r="30" spans="2:31" ht="30" customHeight="1" thickBot="1" x14ac:dyDescent="0.3">
      <c r="B30" s="52"/>
      <c r="J30" s="111"/>
      <c r="K30" s="111"/>
      <c r="L30" s="111"/>
      <c r="M30" s="111"/>
      <c r="N30" s="112"/>
      <c r="O30" s="112"/>
      <c r="P30" s="113" t="s">
        <v>1360</v>
      </c>
      <c r="Q30" s="114">
        <f>SUM(Requests[Adj. Amount])</f>
        <v>0</v>
      </c>
    </row>
    <row r="31" spans="2:31" ht="30" customHeight="1" x14ac:dyDescent="0.25">
      <c r="M31" s="48" t="s">
        <v>1279</v>
      </c>
    </row>
    <row r="32" spans="2:31" ht="30" customHeight="1" x14ac:dyDescent="0.25">
      <c r="M32" s="92" t="s">
        <v>1280</v>
      </c>
      <c r="N32" s="48"/>
      <c r="O32" s="48"/>
      <c r="P32" s="26"/>
    </row>
    <row r="33" spans="10:31" ht="30" customHeight="1" thickBot="1" x14ac:dyDescent="0.3">
      <c r="N33" s="38"/>
      <c r="O33" s="38"/>
      <c r="P33" s="26"/>
    </row>
    <row r="34" spans="10:31" ht="30" customHeight="1" thickBot="1" x14ac:dyDescent="0.3">
      <c r="L34" s="169"/>
      <c r="M34" s="269" t="s">
        <v>1288</v>
      </c>
      <c r="N34" s="269"/>
      <c r="O34" s="269"/>
      <c r="P34" s="270"/>
      <c r="Q34" s="192">
        <f>SUM(Recoveries[Recovery Amount])</f>
        <v>0</v>
      </c>
      <c r="S34" s="263" t="s">
        <v>1309</v>
      </c>
      <c r="T34" s="264"/>
      <c r="U34" s="264"/>
      <c r="V34" s="264"/>
      <c r="W34" s="264"/>
      <c r="X34" s="264"/>
      <c r="Y34" s="264"/>
      <c r="Z34" s="264"/>
      <c r="AA34" s="264"/>
      <c r="AB34" s="264"/>
      <c r="AC34" s="264"/>
      <c r="AD34" s="264"/>
      <c r="AE34" s="265"/>
    </row>
    <row r="35" spans="10:31" ht="30" customHeight="1" x14ac:dyDescent="0.25">
      <c r="L35" s="257" t="s">
        <v>6</v>
      </c>
      <c r="M35" s="248" t="s">
        <v>18</v>
      </c>
      <c r="N35" s="245" t="s">
        <v>20</v>
      </c>
      <c r="O35" s="242" t="s">
        <v>1312</v>
      </c>
      <c r="P35" s="239" t="s">
        <v>1311</v>
      </c>
      <c r="Q35" s="258" t="s">
        <v>1287</v>
      </c>
      <c r="S35" s="271" t="s">
        <v>1007</v>
      </c>
      <c r="T35" s="271" t="s">
        <v>1008</v>
      </c>
      <c r="U35" s="271" t="s">
        <v>1009</v>
      </c>
      <c r="V35" s="271" t="s">
        <v>1010</v>
      </c>
      <c r="W35" s="271" t="s">
        <v>1270</v>
      </c>
      <c r="X35" s="271" t="s">
        <v>1012</v>
      </c>
      <c r="Y35" s="271" t="s">
        <v>1013</v>
      </c>
      <c r="Z35" s="271" t="s">
        <v>1014</v>
      </c>
      <c r="AA35" s="271" t="s">
        <v>1015</v>
      </c>
      <c r="AB35" s="271" t="s">
        <v>1016</v>
      </c>
      <c r="AC35" s="271" t="s">
        <v>1017</v>
      </c>
      <c r="AD35" s="271" t="s">
        <v>1018</v>
      </c>
      <c r="AE35" s="274" t="s">
        <v>1019</v>
      </c>
    </row>
    <row r="36" spans="10:31" ht="17.25" customHeight="1" x14ac:dyDescent="0.25">
      <c r="L36" s="257"/>
      <c r="M36" s="249"/>
      <c r="N36" s="246"/>
      <c r="O36" s="243"/>
      <c r="P36" s="240"/>
      <c r="Q36" s="259"/>
      <c r="S36" s="272"/>
      <c r="T36" s="272"/>
      <c r="U36" s="272"/>
      <c r="V36" s="272"/>
      <c r="W36" s="272"/>
      <c r="X36" s="272"/>
      <c r="Y36" s="272"/>
      <c r="Z36" s="272"/>
      <c r="AA36" s="272"/>
      <c r="AB36" s="272"/>
      <c r="AC36" s="272"/>
      <c r="AD36" s="272"/>
      <c r="AE36" s="275"/>
    </row>
    <row r="37" spans="10:31" ht="32.25" customHeight="1" thickBot="1" x14ac:dyDescent="0.3">
      <c r="K37" s="80"/>
      <c r="L37" s="257"/>
      <c r="M37" s="250"/>
      <c r="N37" s="247"/>
      <c r="O37" s="244"/>
      <c r="P37" s="241"/>
      <c r="Q37" s="260"/>
      <c r="S37" s="273"/>
      <c r="T37" s="273"/>
      <c r="U37" s="273"/>
      <c r="V37" s="273"/>
      <c r="W37" s="273"/>
      <c r="X37" s="273"/>
      <c r="Y37" s="273"/>
      <c r="Z37" s="273"/>
      <c r="AA37" s="273"/>
      <c r="AB37" s="273"/>
      <c r="AC37" s="273"/>
      <c r="AD37" s="273"/>
      <c r="AE37" s="276"/>
    </row>
    <row r="38" spans="10:31" ht="30" hidden="1" outlineLevel="1" x14ac:dyDescent="0.25">
      <c r="J38" s="81"/>
      <c r="K38" s="11" t="s">
        <v>1024</v>
      </c>
      <c r="L38" s="170" t="s">
        <v>6</v>
      </c>
      <c r="M38" s="171" t="s">
        <v>18</v>
      </c>
      <c r="N38" s="172" t="s">
        <v>1290</v>
      </c>
      <c r="O38" s="173" t="s">
        <v>10</v>
      </c>
      <c r="P38" s="174" t="s">
        <v>1295</v>
      </c>
      <c r="Q38" s="93" t="s">
        <v>1294</v>
      </c>
      <c r="R38" s="141" t="s">
        <v>1348</v>
      </c>
      <c r="S38" s="50" t="s">
        <v>1028</v>
      </c>
      <c r="T38" s="50" t="s">
        <v>1008</v>
      </c>
      <c r="U38" s="50" t="s">
        <v>1029</v>
      </c>
      <c r="V38" s="50" t="s">
        <v>1030</v>
      </c>
      <c r="W38" s="50" t="s">
        <v>1031</v>
      </c>
      <c r="X38" s="50" t="s">
        <v>1032</v>
      </c>
      <c r="Y38" s="50" t="s">
        <v>1033</v>
      </c>
      <c r="Z38" s="50" t="s">
        <v>1034</v>
      </c>
      <c r="AA38" s="50" t="s">
        <v>1035</v>
      </c>
      <c r="AB38" s="50" t="s">
        <v>1036</v>
      </c>
      <c r="AC38" s="50" t="s">
        <v>1037</v>
      </c>
      <c r="AD38" s="50" t="s">
        <v>1038</v>
      </c>
      <c r="AE38" s="51" t="s">
        <v>1039</v>
      </c>
    </row>
    <row r="39" spans="10:31" ht="30" customHeight="1" collapsed="1" x14ac:dyDescent="0.25">
      <c r="J39" s="105"/>
      <c r="K39" s="11" t="str">
        <f>IF(COUNT(Recovery_Helper[Recovery Index])&lt;Recoveries[[#This Row],[Index]],"",SMALL(Recovery_Helper[Recovery Index],Recoveries[[#This Row],[Index]]))</f>
        <v/>
      </c>
      <c r="L39" s="170">
        <f>ROW()-ROW(Recoveries[[#Headers],[Index]])</f>
        <v>1</v>
      </c>
      <c r="M39" s="166" t="str">
        <f>IF(LEN(Recoveries[[#This Row],[Lookup ID]])=0,"",INDEX(Recovery_Helper[TPBE],MATCH(Recoveries[[#This Row],[Lookup ID]],Recovery_Helper[Recovery Index],0)))</f>
        <v/>
      </c>
      <c r="N39" s="96" t="str">
        <f>IF(LEN(Recoveries[[#This Row],[Lookup ID]])=0,"",INDEX(Recovery_Helper[Functional Centre],MATCH(Recoveries[[#This Row],[Lookup ID]],Recovery_Helper[Recovery Index],0)))</f>
        <v/>
      </c>
      <c r="O39" s="96" t="str">
        <f>IF(Recoveries[[#This Row],[Lookup ID]]="","",SUMIFS(Recovery_Helper[Forecasted Surplus],Recovery_Helper[TPBE],Recoveries[[#This Row],[TPBE]],Recovery_Helper[Functional Centre],Recoveries[[#This Row],[FC]]))</f>
        <v/>
      </c>
      <c r="P39" s="97" t="str">
        <f>IF(Recoveries[[#This Row],[Lookup ID]]="","",SUMIFS(Recovery_Helper[Surplus Usage Request],Recovery_Helper[TPBE],Recoveries[[#This Row],[TPBE]],Recovery_Helper[Functional Centre],Recoveries[[#This Row],[FC]]))</f>
        <v/>
      </c>
      <c r="Q39" s="98" t="str">
        <f>IF(Recoveries[[#This Row],[Lookup ID]]="","",MAX(Recoveries[[#This Row],[Forecasted Surplus]]-Recoveries[[#This Row],[Surplus Requested]],0))</f>
        <v/>
      </c>
      <c r="R39" s="142"/>
      <c r="S39" s="86"/>
      <c r="T39" s="87"/>
      <c r="U39" s="87"/>
      <c r="V39" s="87"/>
      <c r="W39" s="87"/>
      <c r="X39" s="87"/>
      <c r="Y39" s="87"/>
      <c r="Z39" s="87"/>
      <c r="AA39" s="87"/>
      <c r="AB39" s="87"/>
      <c r="AC39" s="87"/>
      <c r="AD39" s="87"/>
      <c r="AE39" s="88"/>
    </row>
    <row r="40" spans="10:31" ht="30" customHeight="1" x14ac:dyDescent="0.25">
      <c r="J40" s="105"/>
      <c r="K40" s="11" t="str">
        <f>IF(COUNT(Recovery_Helper[Recovery Index])&lt;Recoveries[[#This Row],[Index]],"",SMALL(Recovery_Helper[Recovery Index],Recoveries[[#This Row],[Index]]))</f>
        <v/>
      </c>
      <c r="L40" s="170">
        <f>ROW()-ROW(Recoveries[[#Headers],[Index]])</f>
        <v>2</v>
      </c>
      <c r="M40" s="167" t="str">
        <f>IF(LEN(Recoveries[[#This Row],[Lookup ID]])=0,"",INDEX(Recovery_Helper[TPBE],MATCH(Recoveries[[#This Row],[Lookup ID]],Recovery_Helper[Recovery Index],0)))</f>
        <v/>
      </c>
      <c r="N40" s="99" t="str">
        <f>IF(LEN(Recoveries[[#This Row],[Lookup ID]])=0,"",INDEX(Recovery_Helper[Functional Centre],MATCH(Recoveries[[#This Row],[Lookup ID]],Recovery_Helper[Recovery Index],0)))</f>
        <v/>
      </c>
      <c r="O40" s="99" t="str">
        <f>IF(Recoveries[[#This Row],[Lookup ID]]="","",SUMIFS(Recovery_Helper[Forecasted Surplus],Recovery_Helper[TPBE],Recoveries[[#This Row],[TPBE]],Recovery_Helper[Functional Centre],Recoveries[[#This Row],[FC]]))</f>
        <v/>
      </c>
      <c r="P40" s="100" t="str">
        <f>IF(Recoveries[[#This Row],[Lookup ID]]="","",SUMIFS(Recovery_Helper[Surplus Usage Request],Recovery_Helper[TPBE],Recoveries[[#This Row],[TPBE]],Recovery_Helper[Functional Centre],Recoveries[[#This Row],[FC]]))</f>
        <v/>
      </c>
      <c r="Q40" s="101" t="str">
        <f>IF(Recoveries[[#This Row],[Lookup ID]]="","",MAX(Recoveries[[#This Row],[Forecasted Surplus]]-Recoveries[[#This Row],[Surplus Requested]],0))</f>
        <v/>
      </c>
      <c r="R40" s="143"/>
      <c r="S40" s="89"/>
      <c r="T40" s="85"/>
      <c r="U40" s="85"/>
      <c r="V40" s="85"/>
      <c r="W40" s="85"/>
      <c r="X40" s="85"/>
      <c r="Y40" s="85"/>
      <c r="Z40" s="85"/>
      <c r="AA40" s="85"/>
      <c r="AB40" s="85"/>
      <c r="AC40" s="85"/>
      <c r="AD40" s="85"/>
      <c r="AE40" s="78"/>
    </row>
    <row r="41" spans="10:31" ht="30" customHeight="1" x14ac:dyDescent="0.25">
      <c r="J41" s="105"/>
      <c r="K41" s="11" t="str">
        <f>IF(COUNT(Recovery_Helper[Recovery Index])&lt;Recoveries[[#This Row],[Index]],"",SMALL(Recovery_Helper[Recovery Index],Recoveries[[#This Row],[Index]]))</f>
        <v/>
      </c>
      <c r="L41" s="170">
        <f>ROW()-ROW(Recoveries[[#Headers],[Index]])</f>
        <v>3</v>
      </c>
      <c r="M41" s="167" t="str">
        <f>IF(LEN(Recoveries[[#This Row],[Lookup ID]])=0,"",INDEX(Recovery_Helper[TPBE],MATCH(Recoveries[[#This Row],[Lookup ID]],Recovery_Helper[Recovery Index],0)))</f>
        <v/>
      </c>
      <c r="N41" s="99" t="str">
        <f>IF(LEN(Recoveries[[#This Row],[Lookup ID]])=0,"",INDEX(Recovery_Helper[Functional Centre],MATCH(Recoveries[[#This Row],[Lookup ID]],Recovery_Helper[Recovery Index],0)))</f>
        <v/>
      </c>
      <c r="O41" s="99" t="str">
        <f>IF(Recoveries[[#This Row],[Lookup ID]]="","",SUMIFS(Recovery_Helper[Forecasted Surplus],Recovery_Helper[TPBE],Recoveries[[#This Row],[TPBE]],Recovery_Helper[Functional Centre],Recoveries[[#This Row],[FC]]))</f>
        <v/>
      </c>
      <c r="P41" s="100" t="str">
        <f>IF(Recoveries[[#This Row],[Lookup ID]]="","",SUMIFS(Recovery_Helper[Surplus Usage Request],Recovery_Helper[TPBE],Recoveries[[#This Row],[TPBE]],Recovery_Helper[Functional Centre],Recoveries[[#This Row],[FC]]))</f>
        <v/>
      </c>
      <c r="Q41" s="101" t="str">
        <f>IF(Recoveries[[#This Row],[Lookup ID]]="","",MAX(Recoveries[[#This Row],[Forecasted Surplus]]-Recoveries[[#This Row],[Surplus Requested]],0))</f>
        <v/>
      </c>
      <c r="R41" s="143"/>
      <c r="S41" s="89"/>
      <c r="T41" s="85"/>
      <c r="U41" s="85"/>
      <c r="V41" s="85"/>
      <c r="W41" s="85"/>
      <c r="X41" s="85"/>
      <c r="Y41" s="85"/>
      <c r="Z41" s="85"/>
      <c r="AA41" s="85"/>
      <c r="AB41" s="85"/>
      <c r="AC41" s="85"/>
      <c r="AD41" s="85"/>
      <c r="AE41" s="78"/>
    </row>
    <row r="42" spans="10:31" ht="30" customHeight="1" x14ac:dyDescent="0.25">
      <c r="J42" s="105"/>
      <c r="K42" s="11" t="str">
        <f>IF(COUNT(Recovery_Helper[Recovery Index])&lt;Recoveries[[#This Row],[Index]],"",SMALL(Recovery_Helper[Recovery Index],Recoveries[[#This Row],[Index]]))</f>
        <v/>
      </c>
      <c r="L42" s="170">
        <f>ROW()-ROW(Recoveries[[#Headers],[Index]])</f>
        <v>4</v>
      </c>
      <c r="M42" s="167" t="str">
        <f>IF(LEN(Recoveries[[#This Row],[Lookup ID]])=0,"",INDEX(Recovery_Helper[TPBE],MATCH(Recoveries[[#This Row],[Lookup ID]],Recovery_Helper[Recovery Index],0)))</f>
        <v/>
      </c>
      <c r="N42" s="99" t="str">
        <f>IF(LEN(Recoveries[[#This Row],[Lookup ID]])=0,"",INDEX(Recovery_Helper[Functional Centre],MATCH(Recoveries[[#This Row],[Lookup ID]],Recovery_Helper[Recovery Index],0)))</f>
        <v/>
      </c>
      <c r="O42" s="99" t="str">
        <f>IF(Recoveries[[#This Row],[Lookup ID]]="","",SUMIFS(Recovery_Helper[Forecasted Surplus],Recovery_Helper[TPBE],Recoveries[[#This Row],[TPBE]],Recovery_Helper[Functional Centre],Recoveries[[#This Row],[FC]]))</f>
        <v/>
      </c>
      <c r="P42" s="100" t="str">
        <f>IF(Recoveries[[#This Row],[Lookup ID]]="","",SUMIFS(Recovery_Helper[Surplus Usage Request],Recovery_Helper[TPBE],Recoveries[[#This Row],[TPBE]],Recovery_Helper[Functional Centre],Recoveries[[#This Row],[FC]]))</f>
        <v/>
      </c>
      <c r="Q42" s="101" t="str">
        <f>IF(Recoveries[[#This Row],[Lookup ID]]="","",MAX(Recoveries[[#This Row],[Forecasted Surplus]]-Recoveries[[#This Row],[Surplus Requested]],0))</f>
        <v/>
      </c>
      <c r="R42" s="143"/>
      <c r="S42" s="89"/>
      <c r="T42" s="85"/>
      <c r="U42" s="85"/>
      <c r="V42" s="85"/>
      <c r="W42" s="85"/>
      <c r="X42" s="85"/>
      <c r="Y42" s="85"/>
      <c r="Z42" s="85"/>
      <c r="AA42" s="85"/>
      <c r="AB42" s="85"/>
      <c r="AC42" s="85"/>
      <c r="AD42" s="85"/>
      <c r="AE42" s="78"/>
    </row>
    <row r="43" spans="10:31" ht="30" customHeight="1" x14ac:dyDescent="0.25">
      <c r="J43" s="105"/>
      <c r="K43" s="11" t="str">
        <f>IF(COUNT(Recovery_Helper[Recovery Index])&lt;Recoveries[[#This Row],[Index]],"",SMALL(Recovery_Helper[Recovery Index],Recoveries[[#This Row],[Index]]))</f>
        <v/>
      </c>
      <c r="L43" s="170">
        <f>ROW()-ROW(Recoveries[[#Headers],[Index]])</f>
        <v>5</v>
      </c>
      <c r="M43" s="167" t="str">
        <f>IF(LEN(Recoveries[[#This Row],[Lookup ID]])=0,"",INDEX(Recovery_Helper[TPBE],MATCH(Recoveries[[#This Row],[Lookup ID]],Recovery_Helper[Recovery Index],0)))</f>
        <v/>
      </c>
      <c r="N43" s="99" t="str">
        <f>IF(LEN(Recoveries[[#This Row],[Lookup ID]])=0,"",INDEX(Recovery_Helper[Functional Centre],MATCH(Recoveries[[#This Row],[Lookup ID]],Recovery_Helper[Recovery Index],0)))</f>
        <v/>
      </c>
      <c r="O43" s="99" t="str">
        <f>IF(Recoveries[[#This Row],[Lookup ID]]="","",SUMIFS(Recovery_Helper[Forecasted Surplus],Recovery_Helper[TPBE],Recoveries[[#This Row],[TPBE]],Recovery_Helper[Functional Centre],Recoveries[[#This Row],[FC]]))</f>
        <v/>
      </c>
      <c r="P43" s="100" t="str">
        <f>IF(Recoveries[[#This Row],[Lookup ID]]="","",SUMIFS(Recovery_Helper[Surplus Usage Request],Recovery_Helper[TPBE],Recoveries[[#This Row],[TPBE]],Recovery_Helper[Functional Centre],Recoveries[[#This Row],[FC]]))</f>
        <v/>
      </c>
      <c r="Q43" s="101" t="str">
        <f>IF(Recoveries[[#This Row],[Lookup ID]]="","",MAX(Recoveries[[#This Row],[Forecasted Surplus]]-Recoveries[[#This Row],[Surplus Requested]],0))</f>
        <v/>
      </c>
      <c r="R43" s="143"/>
      <c r="S43" s="89"/>
      <c r="T43" s="85"/>
      <c r="U43" s="85"/>
      <c r="V43" s="85"/>
      <c r="W43" s="85"/>
      <c r="X43" s="85"/>
      <c r="Y43" s="85"/>
      <c r="Z43" s="85"/>
      <c r="AA43" s="85"/>
      <c r="AB43" s="85"/>
      <c r="AC43" s="85"/>
      <c r="AD43" s="85"/>
      <c r="AE43" s="78"/>
    </row>
    <row r="44" spans="10:31" ht="30" customHeight="1" x14ac:dyDescent="0.25">
      <c r="J44" s="105"/>
      <c r="K44" s="11" t="str">
        <f>IF(COUNT(Recovery_Helper[Recovery Index])&lt;Recoveries[[#This Row],[Index]],"",SMALL(Recovery_Helper[Recovery Index],Recoveries[[#This Row],[Index]]))</f>
        <v/>
      </c>
      <c r="L44" s="170">
        <f>ROW()-ROW(Recoveries[[#Headers],[Index]])</f>
        <v>6</v>
      </c>
      <c r="M44" s="167" t="str">
        <f>IF(LEN(Recoveries[[#This Row],[Lookup ID]])=0,"",INDEX(Recovery_Helper[TPBE],MATCH(Recoveries[[#This Row],[Lookup ID]],Recovery_Helper[Recovery Index],0)))</f>
        <v/>
      </c>
      <c r="N44" s="99" t="str">
        <f>IF(LEN(Recoveries[[#This Row],[Lookup ID]])=0,"",INDEX(Recovery_Helper[Functional Centre],MATCH(Recoveries[[#This Row],[Lookup ID]],Recovery_Helper[Recovery Index],0)))</f>
        <v/>
      </c>
      <c r="O44" s="99" t="str">
        <f>IF(Recoveries[[#This Row],[Lookup ID]]="","",SUMIFS(Recovery_Helper[Forecasted Surplus],Recovery_Helper[TPBE],Recoveries[[#This Row],[TPBE]],Recovery_Helper[Functional Centre],Recoveries[[#This Row],[FC]]))</f>
        <v/>
      </c>
      <c r="P44" s="100" t="str">
        <f>IF(Recoveries[[#This Row],[Lookup ID]]="","",SUMIFS(Recovery_Helper[Surplus Usage Request],Recovery_Helper[TPBE],Recoveries[[#This Row],[TPBE]],Recovery_Helper[Functional Centre],Recoveries[[#This Row],[FC]]))</f>
        <v/>
      </c>
      <c r="Q44" s="101" t="str">
        <f>IF(Recoveries[[#This Row],[Lookup ID]]="","",MAX(Recoveries[[#This Row],[Forecasted Surplus]]-Recoveries[[#This Row],[Surplus Requested]],0))</f>
        <v/>
      </c>
      <c r="R44" s="143"/>
      <c r="S44" s="89"/>
      <c r="T44" s="85"/>
      <c r="U44" s="85"/>
      <c r="V44" s="85"/>
      <c r="W44" s="85"/>
      <c r="X44" s="85"/>
      <c r="Y44" s="85"/>
      <c r="Z44" s="85"/>
      <c r="AA44" s="85"/>
      <c r="AB44" s="85"/>
      <c r="AC44" s="85"/>
      <c r="AD44" s="85"/>
      <c r="AE44" s="78"/>
    </row>
    <row r="45" spans="10:31" ht="30" customHeight="1" x14ac:dyDescent="0.25">
      <c r="J45" s="105"/>
      <c r="K45" s="11" t="str">
        <f>IF(COUNT(Recovery_Helper[Recovery Index])&lt;Recoveries[[#This Row],[Index]],"",SMALL(Recovery_Helper[Recovery Index],Recoveries[[#This Row],[Index]]))</f>
        <v/>
      </c>
      <c r="L45" s="170">
        <f>ROW()-ROW(Recoveries[[#Headers],[Index]])</f>
        <v>7</v>
      </c>
      <c r="M45" s="167" t="str">
        <f>IF(LEN(Recoveries[[#This Row],[Lookup ID]])=0,"",INDEX(Recovery_Helper[TPBE],MATCH(Recoveries[[#This Row],[Lookup ID]],Recovery_Helper[Recovery Index],0)))</f>
        <v/>
      </c>
      <c r="N45" s="99" t="str">
        <f>IF(LEN(Recoveries[[#This Row],[Lookup ID]])=0,"",INDEX(Recovery_Helper[Functional Centre],MATCH(Recoveries[[#This Row],[Lookup ID]],Recovery_Helper[Recovery Index],0)))</f>
        <v/>
      </c>
      <c r="O45" s="99" t="str">
        <f>IF(Recoveries[[#This Row],[Lookup ID]]="","",SUMIFS(Recovery_Helper[Forecasted Surplus],Recovery_Helper[TPBE],Recoveries[[#This Row],[TPBE]],Recovery_Helper[Functional Centre],Recoveries[[#This Row],[FC]]))</f>
        <v/>
      </c>
      <c r="P45" s="100" t="str">
        <f>IF(Recoveries[[#This Row],[Lookup ID]]="","",SUMIFS(Recovery_Helper[Surplus Usage Request],Recovery_Helper[TPBE],Recoveries[[#This Row],[TPBE]],Recovery_Helper[Functional Centre],Recoveries[[#This Row],[FC]]))</f>
        <v/>
      </c>
      <c r="Q45" s="101" t="str">
        <f>IF(Recoveries[[#This Row],[Lookup ID]]="","",MAX(Recoveries[[#This Row],[Forecasted Surplus]]-Recoveries[[#This Row],[Surplus Requested]],0))</f>
        <v/>
      </c>
      <c r="R45" s="143"/>
      <c r="S45" s="89"/>
      <c r="T45" s="85"/>
      <c r="U45" s="85"/>
      <c r="V45" s="85"/>
      <c r="W45" s="85"/>
      <c r="X45" s="85"/>
      <c r="Y45" s="85"/>
      <c r="Z45" s="85"/>
      <c r="AA45" s="85"/>
      <c r="AB45" s="85"/>
      <c r="AC45" s="85"/>
      <c r="AD45" s="85"/>
      <c r="AE45" s="78"/>
    </row>
    <row r="46" spans="10:31" ht="30" customHeight="1" x14ac:dyDescent="0.25">
      <c r="J46" s="105"/>
      <c r="K46" s="11" t="str">
        <f>IF(COUNT(Recovery_Helper[Recovery Index])&lt;Recoveries[[#This Row],[Index]],"",SMALL(Recovery_Helper[Recovery Index],Recoveries[[#This Row],[Index]]))</f>
        <v/>
      </c>
      <c r="L46" s="170">
        <f>ROW()-ROW(Recoveries[[#Headers],[Index]])</f>
        <v>8</v>
      </c>
      <c r="M46" s="167" t="str">
        <f>IF(LEN(Recoveries[[#This Row],[Lookup ID]])=0,"",INDEX(Recovery_Helper[TPBE],MATCH(Recoveries[[#This Row],[Lookup ID]],Recovery_Helper[Recovery Index],0)))</f>
        <v/>
      </c>
      <c r="N46" s="99" t="str">
        <f>IF(LEN(Recoveries[[#This Row],[Lookup ID]])=0,"",INDEX(Recovery_Helper[Functional Centre],MATCH(Recoveries[[#This Row],[Lookup ID]],Recovery_Helper[Recovery Index],0)))</f>
        <v/>
      </c>
      <c r="O46" s="99" t="str">
        <f>IF(Recoveries[[#This Row],[Lookup ID]]="","",SUMIFS(Recovery_Helper[Forecasted Surplus],Recovery_Helper[TPBE],Recoveries[[#This Row],[TPBE]],Recovery_Helper[Functional Centre],Recoveries[[#This Row],[FC]]))</f>
        <v/>
      </c>
      <c r="P46" s="100" t="str">
        <f>IF(Recoveries[[#This Row],[Lookup ID]]="","",SUMIFS(Recovery_Helper[Surplus Usage Request],Recovery_Helper[TPBE],Recoveries[[#This Row],[TPBE]],Recovery_Helper[Functional Centre],Recoveries[[#This Row],[FC]]))</f>
        <v/>
      </c>
      <c r="Q46" s="101" t="str">
        <f>IF(Recoveries[[#This Row],[Lookup ID]]="","",MAX(Recoveries[[#This Row],[Forecasted Surplus]]-Recoveries[[#This Row],[Surplus Requested]],0))</f>
        <v/>
      </c>
      <c r="R46" s="143"/>
      <c r="S46" s="89"/>
      <c r="T46" s="85"/>
      <c r="U46" s="85"/>
      <c r="V46" s="85"/>
      <c r="W46" s="85"/>
      <c r="X46" s="85"/>
      <c r="Y46" s="85"/>
      <c r="Z46" s="85"/>
      <c r="AA46" s="85"/>
      <c r="AB46" s="85"/>
      <c r="AC46" s="85"/>
      <c r="AD46" s="85"/>
      <c r="AE46" s="78"/>
    </row>
    <row r="47" spans="10:31" ht="30" customHeight="1" x14ac:dyDescent="0.25">
      <c r="J47" s="105"/>
      <c r="K47" s="11" t="str">
        <f>IF(COUNT(Recovery_Helper[Recovery Index])&lt;Recoveries[[#This Row],[Index]],"",SMALL(Recovery_Helper[Recovery Index],Recoveries[[#This Row],[Index]]))</f>
        <v/>
      </c>
      <c r="L47" s="170">
        <f>ROW()-ROW(Recoveries[[#Headers],[Index]])</f>
        <v>9</v>
      </c>
      <c r="M47" s="167" t="str">
        <f>IF(LEN(Recoveries[[#This Row],[Lookup ID]])=0,"",INDEX(Recovery_Helper[TPBE],MATCH(Recoveries[[#This Row],[Lookup ID]],Recovery_Helper[Recovery Index],0)))</f>
        <v/>
      </c>
      <c r="N47" s="99" t="str">
        <f>IF(LEN(Recoveries[[#This Row],[Lookup ID]])=0,"",INDEX(Recovery_Helper[Functional Centre],MATCH(Recoveries[[#This Row],[Lookup ID]],Recovery_Helper[Recovery Index],0)))</f>
        <v/>
      </c>
      <c r="O47" s="99" t="str">
        <f>IF(Recoveries[[#This Row],[Lookup ID]]="","",SUMIFS(Recovery_Helper[Forecasted Surplus],Recovery_Helper[TPBE],Recoveries[[#This Row],[TPBE]],Recovery_Helper[Functional Centre],Recoveries[[#This Row],[FC]]))</f>
        <v/>
      </c>
      <c r="P47" s="100" t="str">
        <f>IF(Recoveries[[#This Row],[Lookup ID]]="","",SUMIFS(Recovery_Helper[Surplus Usage Request],Recovery_Helper[TPBE],Recoveries[[#This Row],[TPBE]],Recovery_Helper[Functional Centre],Recoveries[[#This Row],[FC]]))</f>
        <v/>
      </c>
      <c r="Q47" s="101" t="str">
        <f>IF(Recoveries[[#This Row],[Lookup ID]]="","",MAX(Recoveries[[#This Row],[Forecasted Surplus]]-Recoveries[[#This Row],[Surplus Requested]],0))</f>
        <v/>
      </c>
      <c r="R47" s="143"/>
      <c r="S47" s="89"/>
      <c r="T47" s="85"/>
      <c r="U47" s="85"/>
      <c r="V47" s="85"/>
      <c r="W47" s="85"/>
      <c r="X47" s="85"/>
      <c r="Y47" s="85"/>
      <c r="Z47" s="85"/>
      <c r="AA47" s="85"/>
      <c r="AB47" s="85"/>
      <c r="AC47" s="85"/>
      <c r="AD47" s="85"/>
      <c r="AE47" s="78"/>
    </row>
    <row r="48" spans="10:31" ht="30" customHeight="1" thickBot="1" x14ac:dyDescent="0.3">
      <c r="J48" s="105"/>
      <c r="K48" s="11" t="str">
        <f>IF(COUNT(Recovery_Helper[Recovery Index])&lt;Recoveries[[#This Row],[Index]],"",SMALL(Recovery_Helper[Recovery Index],Recoveries[[#This Row],[Index]]))</f>
        <v/>
      </c>
      <c r="L48" s="170">
        <f>ROW()-ROW(Recoveries[[#Headers],[Index]])</f>
        <v>10</v>
      </c>
      <c r="M48" s="168" t="str">
        <f>IF(LEN(Recoveries[[#This Row],[Lookup ID]])=0,"",INDEX(Recovery_Helper[TPBE],MATCH(Recoveries[[#This Row],[Lookup ID]],Recovery_Helper[Recovery Index],0)))</f>
        <v/>
      </c>
      <c r="N48" s="102" t="str">
        <f>IF(LEN(Recoveries[[#This Row],[Lookup ID]])=0,"",INDEX(Recovery_Helper[Functional Centre],MATCH(Recoveries[[#This Row],[Lookup ID]],Recovery_Helper[Recovery Index],0)))</f>
        <v/>
      </c>
      <c r="O48" s="102" t="str">
        <f>IF(Recoveries[[#This Row],[Lookup ID]]="","",SUMIFS(Recovery_Helper[Forecasted Surplus],Recovery_Helper[TPBE],Recoveries[[#This Row],[TPBE]],Recovery_Helper[Functional Centre],Recoveries[[#This Row],[FC]]))</f>
        <v/>
      </c>
      <c r="P48" s="103" t="str">
        <f>IF(Recoveries[[#This Row],[Lookup ID]]="","",SUMIFS(Recovery_Helper[Surplus Usage Request],Recovery_Helper[TPBE],Recoveries[[#This Row],[TPBE]],Recovery_Helper[Functional Centre],Recoveries[[#This Row],[FC]]))</f>
        <v/>
      </c>
      <c r="Q48" s="104" t="str">
        <f>IF(Recoveries[[#This Row],[Lookup ID]]="","",MAX(Recoveries[[#This Row],[Forecasted Surplus]]-Recoveries[[#This Row],[Surplus Requested]],0))</f>
        <v/>
      </c>
      <c r="R48" s="144"/>
      <c r="S48" s="90"/>
      <c r="T48" s="91"/>
      <c r="U48" s="91"/>
      <c r="V48" s="91"/>
      <c r="W48" s="91"/>
      <c r="X48" s="91"/>
      <c r="Y48" s="91"/>
      <c r="Z48" s="91"/>
      <c r="AA48" s="91"/>
      <c r="AB48" s="91"/>
      <c r="AC48" s="91"/>
      <c r="AD48" s="91"/>
      <c r="AE48" s="79"/>
    </row>
    <row r="49" spans="2:30" x14ac:dyDescent="0.25">
      <c r="J49" s="105"/>
      <c r="K49" s="80"/>
      <c r="L49" s="80"/>
    </row>
    <row r="50" spans="2:30" x14ac:dyDescent="0.25">
      <c r="J50" s="105"/>
      <c r="M50" t="s">
        <v>1271</v>
      </c>
    </row>
    <row r="51" spans="2:30" ht="45" hidden="1" outlineLevel="1" x14ac:dyDescent="0.25">
      <c r="J51" s="105"/>
      <c r="K51" s="52" t="s">
        <v>1276</v>
      </c>
      <c r="L51" s="52" t="s">
        <v>6</v>
      </c>
      <c r="M51" s="52" t="s">
        <v>18</v>
      </c>
      <c r="N51" s="52" t="s">
        <v>9</v>
      </c>
      <c r="O51" s="52" t="s">
        <v>10</v>
      </c>
      <c r="P51" s="52" t="s">
        <v>1021</v>
      </c>
      <c r="Q51" s="52" t="s">
        <v>1022</v>
      </c>
      <c r="R51" s="52" t="s">
        <v>1023</v>
      </c>
      <c r="S51" s="52" t="s">
        <v>1274</v>
      </c>
      <c r="T51" s="52" t="s">
        <v>1275</v>
      </c>
      <c r="U51" s="52" t="s">
        <v>1277</v>
      </c>
      <c r="V51" s="52"/>
      <c r="W51" s="52"/>
      <c r="X51" s="52"/>
      <c r="Y51" s="52"/>
      <c r="Z51" s="52"/>
      <c r="AA51" s="52"/>
      <c r="AB51" s="52"/>
      <c r="AC51" s="52"/>
      <c r="AD51" s="52"/>
    </row>
    <row r="52" spans="2:30" hidden="1" outlineLevel="1" x14ac:dyDescent="0.25">
      <c r="J52" s="105"/>
      <c r="K52" s="28" t="b">
        <f>Recovery_Helper[[#This Row],[Index]]&lt;=Count_Recoveries_New</f>
        <v>0</v>
      </c>
      <c r="L52">
        <f>ROW()-ROW(Recovery_Helper[[#Headers],[Index]])</f>
        <v>1</v>
      </c>
      <c r="M52" t="str">
        <f>IF(Recovery_Helper[[#This Row],[Check Line]],T(INDEX(CHOOSE(Recovery_Helper[[#This Row],[Table]],Surplus[TPBE],Requests[TPBE]),Recovery_Helper[[#This Row],[Table Unique Index]])),"")</f>
        <v/>
      </c>
      <c r="N52" t="str">
        <f>IF(Recovery_Helper[[#This Row],[Check Line]],T(INDEX(CHOOSE(Recovery_Helper[[#This Row],[Table]],Surplus[Functional Centre],Requests[FC]),Recovery_Helper[[#This Row],[Table Unique Index]])),"")</f>
        <v/>
      </c>
      <c r="O52" s="28">
        <f>SUMIFS(Surplus[Surplus],Surplus[TPBE],Recovery_Helper[[#This Row],[TPBE]],Surplus[Functional Centre],Recovery_Helper[[#This Row],[Functional Centre]])</f>
        <v>0</v>
      </c>
      <c r="P52" s="28">
        <f>IF(Recovery_Helper[[#This Row],[Check Line]],IF(COUNTBLANK(Recovery_Helper[[#This Row],[TPBE]:[Functional Centre]])=0,-1*SUMIFS(Requests[Adj. Amount],Requests[TPBE],Recovery_Helper[[#This Row],[TPBE]],Requests[FC],Recovery_Helper[[#This Row],[Functional Centre]],Requests[Adj. Amount],"&lt;0"),0),0)</f>
        <v>0</v>
      </c>
      <c r="Q52" s="28">
        <f>Recovery_Helper[[#This Row],[Forecasted Surplus]]-Recovery_Helper[[#This Row],[Surplus Usage Request]]</f>
        <v>0</v>
      </c>
      <c r="R52" s="47" t="str">
        <f>IF(Recovery_Helper[[#This Row],[Check Line]],Recovery_Helper[[#This Row],[Index]],"")</f>
        <v/>
      </c>
      <c r="S52" s="56" t="str">
        <f>IF(Recovery_Helper[[#This Row],[Check Line]],IF(Recovery_Helper[[#This Row],[Index]]&lt;=Surplus[[#Totals],[Add to Recoveries]],1,2),"")</f>
        <v/>
      </c>
      <c r="T52" s="56" t="str">
        <f>IF(Recovery_Helper[[#This Row],[Check Line]],COUNTIFS(Recovery_Helper[Table],Recovery_Helper[[#This Row],[Table]],Recovery_Helper[Index],"&lt;="&amp;Recovery_Helper[[#This Row],[Index]]),"")</f>
        <v/>
      </c>
      <c r="U52" s="56" t="str">
        <f>IF(Recovery_Helper[[#This Row],[Check Line]],SMALL(CHOOSE(Recovery_Helper[[#This Row],[Table]],Surplus[Add to Recoveries],Requests[Reallocation Type]),Recovery_Helper[[#This Row],[Table Index]]),"")</f>
        <v/>
      </c>
    </row>
    <row r="53" spans="2:30" hidden="1" outlineLevel="1" x14ac:dyDescent="0.25">
      <c r="J53" s="105"/>
      <c r="K53" s="28" t="b">
        <f>Recovery_Helper[[#This Row],[Index]]&lt;=Count_Recoveries_New</f>
        <v>0</v>
      </c>
      <c r="L53">
        <f>ROW()-ROW(Recovery_Helper[[#Headers],[Index]])</f>
        <v>2</v>
      </c>
      <c r="M53" t="str">
        <f>IF(Recovery_Helper[[#This Row],[Check Line]],T(INDEX(CHOOSE(Recovery_Helper[[#This Row],[Table]],Surplus[TPBE],Requests[TPBE]),Recovery_Helper[[#This Row],[Table Unique Index]])),"")</f>
        <v/>
      </c>
      <c r="N53" t="str">
        <f>IF(Recovery_Helper[[#This Row],[Check Line]],T(INDEX(CHOOSE(Recovery_Helper[[#This Row],[Table]],Surplus[Functional Centre],Requests[FC]),Recovery_Helper[[#This Row],[Table Unique Index]])),"")</f>
        <v/>
      </c>
      <c r="O53" s="28">
        <f>SUMIFS(Surplus[Surplus],Surplus[TPBE],Recovery_Helper[[#This Row],[TPBE]],Surplus[Functional Centre],Recovery_Helper[[#This Row],[Functional Centre]])</f>
        <v>0</v>
      </c>
      <c r="P53" s="28">
        <f>IF(Recovery_Helper[[#This Row],[Check Line]],IF(COUNTBLANK(Recovery_Helper[[#This Row],[TPBE]:[Functional Centre]])=0,-1*SUMIFS(Requests[Adj. Amount],Requests[TPBE],Recovery_Helper[[#This Row],[TPBE]],Requests[FC],Recovery_Helper[[#This Row],[Functional Centre]],Requests[Adj. Amount],"&lt;0"),0),0)</f>
        <v>0</v>
      </c>
      <c r="Q53" s="28">
        <f>Recovery_Helper[[#This Row],[Forecasted Surplus]]-Recovery_Helper[[#This Row],[Surplus Usage Request]]</f>
        <v>0</v>
      </c>
      <c r="R53" s="47" t="str">
        <f>IF(Recovery_Helper[[#This Row],[Check Line]],Recovery_Helper[[#This Row],[Index]],"")</f>
        <v/>
      </c>
      <c r="S53" s="56" t="str">
        <f>IF(Recovery_Helper[[#This Row],[Check Line]],IF(Recovery_Helper[[#This Row],[Index]]&lt;=Surplus[[#Totals],[Add to Recoveries]],1,2),"")</f>
        <v/>
      </c>
      <c r="T53" s="56" t="str">
        <f>IF(Recovery_Helper[[#This Row],[Check Line]],COUNTIFS(Recovery_Helper[Table],Recovery_Helper[[#This Row],[Table]],Recovery_Helper[Index],"&lt;="&amp;Recovery_Helper[[#This Row],[Index]]),"")</f>
        <v/>
      </c>
      <c r="U53" s="56" t="str">
        <f>IF(Recovery_Helper[[#This Row],[Check Line]],SMALL(CHOOSE(Recovery_Helper[[#This Row],[Table]],Surplus[Add to Recoveries],Requests[Reallocation Type]),Recovery_Helper[[#This Row],[Table Index]]),"")</f>
        <v/>
      </c>
    </row>
    <row r="54" spans="2:30" hidden="1" outlineLevel="1" x14ac:dyDescent="0.25">
      <c r="J54" s="105"/>
      <c r="K54" s="28" t="b">
        <f>Recovery_Helper[[#This Row],[Index]]&lt;=Count_Recoveries_New</f>
        <v>0</v>
      </c>
      <c r="L54">
        <f>ROW()-ROW(Recovery_Helper[[#Headers],[Index]])</f>
        <v>3</v>
      </c>
      <c r="M54" t="str">
        <f>IF(Recovery_Helper[[#This Row],[Check Line]],T(INDEX(CHOOSE(Recovery_Helper[[#This Row],[Table]],Surplus[TPBE],Requests[TPBE]),Recovery_Helper[[#This Row],[Table Unique Index]])),"")</f>
        <v/>
      </c>
      <c r="N54" t="str">
        <f>IF(Recovery_Helper[[#This Row],[Check Line]],T(INDEX(CHOOSE(Recovery_Helper[[#This Row],[Table]],Surplus[Functional Centre],Requests[FC]),Recovery_Helper[[#This Row],[Table Unique Index]])),"")</f>
        <v/>
      </c>
      <c r="O54" s="28">
        <f>SUMIFS(Surplus[Surplus],Surplus[TPBE],Recovery_Helper[[#This Row],[TPBE]],Surplus[Functional Centre],Recovery_Helper[[#This Row],[Functional Centre]])</f>
        <v>0</v>
      </c>
      <c r="P54" s="28">
        <f>IF(Recovery_Helper[[#This Row],[Check Line]],IF(COUNTBLANK(Recovery_Helper[[#This Row],[TPBE]:[Functional Centre]])=0,-1*SUMIFS(Requests[Adj. Amount],Requests[TPBE],Recovery_Helper[[#This Row],[TPBE]],Requests[FC],Recovery_Helper[[#This Row],[Functional Centre]],Requests[Adj. Amount],"&lt;0"),0),0)</f>
        <v>0</v>
      </c>
      <c r="Q54" s="28">
        <f>Recovery_Helper[[#This Row],[Forecasted Surplus]]-Recovery_Helper[[#This Row],[Surplus Usage Request]]</f>
        <v>0</v>
      </c>
      <c r="R54" s="47" t="str">
        <f>IF(Recovery_Helper[[#This Row],[Check Line]],Recovery_Helper[[#This Row],[Index]],"")</f>
        <v/>
      </c>
      <c r="S54" s="56" t="str">
        <f>IF(Recovery_Helper[[#This Row],[Check Line]],IF(Recovery_Helper[[#This Row],[Index]]&lt;=Surplus[[#Totals],[Add to Recoveries]],1,2),"")</f>
        <v/>
      </c>
      <c r="T54" s="56" t="str">
        <f>IF(Recovery_Helper[[#This Row],[Check Line]],COUNTIFS(Recovery_Helper[Table],Recovery_Helper[[#This Row],[Table]],Recovery_Helper[Index],"&lt;="&amp;Recovery_Helper[[#This Row],[Index]]),"")</f>
        <v/>
      </c>
      <c r="U54" s="56" t="str">
        <f>IF(Recovery_Helper[[#This Row],[Check Line]],SMALL(CHOOSE(Recovery_Helper[[#This Row],[Table]],Surplus[Add to Recoveries],Requests[Reallocation Type]),Recovery_Helper[[#This Row],[Table Index]]),"")</f>
        <v/>
      </c>
    </row>
    <row r="55" spans="2:30" hidden="1" outlineLevel="1" x14ac:dyDescent="0.25">
      <c r="J55" s="105"/>
      <c r="K55" s="28" t="b">
        <f>Recovery_Helper[[#This Row],[Index]]&lt;=Count_Recoveries_New</f>
        <v>0</v>
      </c>
      <c r="L55">
        <f>ROW()-ROW(Recovery_Helper[[#Headers],[Index]])</f>
        <v>4</v>
      </c>
      <c r="M55" t="str">
        <f>IF(Recovery_Helper[[#This Row],[Check Line]],T(INDEX(CHOOSE(Recovery_Helper[[#This Row],[Table]],Surplus[TPBE],Requests[TPBE]),Recovery_Helper[[#This Row],[Table Unique Index]])),"")</f>
        <v/>
      </c>
      <c r="N55" t="str">
        <f>IF(Recovery_Helper[[#This Row],[Check Line]],T(INDEX(CHOOSE(Recovery_Helper[[#This Row],[Table]],Surplus[Functional Centre],Requests[FC]),Recovery_Helper[[#This Row],[Table Unique Index]])),"")</f>
        <v/>
      </c>
      <c r="O55" s="28">
        <f>SUMIFS(Surplus[Surplus],Surplus[TPBE],Recovery_Helper[[#This Row],[TPBE]],Surplus[Functional Centre],Recovery_Helper[[#This Row],[Functional Centre]])</f>
        <v>0</v>
      </c>
      <c r="P55" s="28">
        <f>IF(Recovery_Helper[[#This Row],[Check Line]],IF(COUNTBLANK(Recovery_Helper[[#This Row],[TPBE]:[Functional Centre]])=0,-1*SUMIFS(Requests[Adj. Amount],Requests[TPBE],Recovery_Helper[[#This Row],[TPBE]],Requests[FC],Recovery_Helper[[#This Row],[Functional Centre]],Requests[Adj. Amount],"&lt;0"),0),0)</f>
        <v>0</v>
      </c>
      <c r="Q55" s="28">
        <f>Recovery_Helper[[#This Row],[Forecasted Surplus]]-Recovery_Helper[[#This Row],[Surplus Usage Request]]</f>
        <v>0</v>
      </c>
      <c r="R55" s="47" t="str">
        <f>IF(Recovery_Helper[[#This Row],[Check Line]],Recovery_Helper[[#This Row],[Index]],"")</f>
        <v/>
      </c>
      <c r="S55" s="56" t="str">
        <f>IF(Recovery_Helper[[#This Row],[Check Line]],IF(Recovery_Helper[[#This Row],[Index]]&lt;=Surplus[[#Totals],[Add to Recoveries]],1,2),"")</f>
        <v/>
      </c>
      <c r="T55" s="56" t="str">
        <f>IF(Recovery_Helper[[#This Row],[Check Line]],COUNTIFS(Recovery_Helper[Table],Recovery_Helper[[#This Row],[Table]],Recovery_Helper[Index],"&lt;="&amp;Recovery_Helper[[#This Row],[Index]]),"")</f>
        <v/>
      </c>
      <c r="U55" s="56" t="str">
        <f>IF(Recovery_Helper[[#This Row],[Check Line]],SMALL(CHOOSE(Recovery_Helper[[#This Row],[Table]],Surplus[Add to Recoveries],Requests[Reallocation Type]),Recovery_Helper[[#This Row],[Table Index]]),"")</f>
        <v/>
      </c>
    </row>
    <row r="56" spans="2:30" hidden="1" outlineLevel="1" x14ac:dyDescent="0.25">
      <c r="J56" s="105"/>
      <c r="K56" s="28" t="b">
        <f>Recovery_Helper[[#This Row],[Index]]&lt;=Count_Recoveries_New</f>
        <v>0</v>
      </c>
      <c r="L56">
        <f>ROW()-ROW(Recovery_Helper[[#Headers],[Index]])</f>
        <v>5</v>
      </c>
      <c r="M56" t="str">
        <f>IF(Recovery_Helper[[#This Row],[Check Line]],T(INDEX(CHOOSE(Recovery_Helper[[#This Row],[Table]],Surplus[TPBE],Requests[TPBE]),Recovery_Helper[[#This Row],[Table Unique Index]])),"")</f>
        <v/>
      </c>
      <c r="N56" t="str">
        <f>IF(Recovery_Helper[[#This Row],[Check Line]],T(INDEX(CHOOSE(Recovery_Helper[[#This Row],[Table]],Surplus[Functional Centre],Requests[FC]),Recovery_Helper[[#This Row],[Table Unique Index]])),"")</f>
        <v/>
      </c>
      <c r="O56" s="28">
        <f>SUMIFS(Surplus[Surplus],Surplus[TPBE],Recovery_Helper[[#This Row],[TPBE]],Surplus[Functional Centre],Recovery_Helper[[#This Row],[Functional Centre]])</f>
        <v>0</v>
      </c>
      <c r="P56" s="28">
        <f>IF(Recovery_Helper[[#This Row],[Check Line]],IF(COUNTBLANK(Recovery_Helper[[#This Row],[TPBE]:[Functional Centre]])=0,-1*SUMIFS(Requests[Adj. Amount],Requests[TPBE],Recovery_Helper[[#This Row],[TPBE]],Requests[FC],Recovery_Helper[[#This Row],[Functional Centre]],Requests[Adj. Amount],"&lt;0"),0),0)</f>
        <v>0</v>
      </c>
      <c r="Q56" s="28">
        <f>Recovery_Helper[[#This Row],[Forecasted Surplus]]-Recovery_Helper[[#This Row],[Surplus Usage Request]]</f>
        <v>0</v>
      </c>
      <c r="R56" s="47" t="str">
        <f>IF(Recovery_Helper[[#This Row],[Check Line]],Recovery_Helper[[#This Row],[Index]],"")</f>
        <v/>
      </c>
      <c r="S56" s="56" t="str">
        <f>IF(Recovery_Helper[[#This Row],[Check Line]],IF(Recovery_Helper[[#This Row],[Index]]&lt;=Surplus[[#Totals],[Add to Recoveries]],1,2),"")</f>
        <v/>
      </c>
      <c r="T56" s="56" t="str">
        <f>IF(Recovery_Helper[[#This Row],[Check Line]],COUNTIFS(Recovery_Helper[Table],Recovery_Helper[[#This Row],[Table]],Recovery_Helper[Index],"&lt;="&amp;Recovery_Helper[[#This Row],[Index]]),"")</f>
        <v/>
      </c>
      <c r="U56" s="56" t="str">
        <f>IF(Recovery_Helper[[#This Row],[Check Line]],SMALL(CHOOSE(Recovery_Helper[[#This Row],[Table]],Surplus[Add to Recoveries],Requests[Reallocation Type]),Recovery_Helper[[#This Row],[Table Index]]),"")</f>
        <v/>
      </c>
    </row>
    <row r="57" spans="2:30" hidden="1" outlineLevel="1" x14ac:dyDescent="0.25">
      <c r="B57" s="52"/>
      <c r="C57" s="52"/>
      <c r="D57" s="52"/>
      <c r="E57" s="52"/>
      <c r="J57" s="105"/>
      <c r="K57" s="28" t="b">
        <f>Recovery_Helper[[#This Row],[Index]]&lt;=Count_Recoveries_New</f>
        <v>0</v>
      </c>
      <c r="L57">
        <f>ROW()-ROW(Recovery_Helper[[#Headers],[Index]])</f>
        <v>6</v>
      </c>
      <c r="M57" t="str">
        <f>IF(Recovery_Helper[[#This Row],[Check Line]],T(INDEX(CHOOSE(Recovery_Helper[[#This Row],[Table]],Surplus[TPBE],Requests[TPBE]),Recovery_Helper[[#This Row],[Table Unique Index]])),"")</f>
        <v/>
      </c>
      <c r="N57" t="str">
        <f>IF(Recovery_Helper[[#This Row],[Check Line]],T(INDEX(CHOOSE(Recovery_Helper[[#This Row],[Table]],Surplus[Functional Centre],Requests[FC]),Recovery_Helper[[#This Row],[Table Unique Index]])),"")</f>
        <v/>
      </c>
      <c r="O57" s="28">
        <f>SUMIFS(Surplus[Surplus],Surplus[TPBE],Recovery_Helper[[#This Row],[TPBE]],Surplus[Functional Centre],Recovery_Helper[[#This Row],[Functional Centre]])</f>
        <v>0</v>
      </c>
      <c r="P57" s="28">
        <f>IF(Recovery_Helper[[#This Row],[Check Line]],IF(COUNTBLANK(Recovery_Helper[[#This Row],[TPBE]:[Functional Centre]])=0,-1*SUMIFS(Requests[Adj. Amount],Requests[TPBE],Recovery_Helper[[#This Row],[TPBE]],Requests[FC],Recovery_Helper[[#This Row],[Functional Centre]],Requests[Adj. Amount],"&lt;0"),0),0)</f>
        <v>0</v>
      </c>
      <c r="Q57" s="28">
        <f>Recovery_Helper[[#This Row],[Forecasted Surplus]]-Recovery_Helper[[#This Row],[Surplus Usage Request]]</f>
        <v>0</v>
      </c>
      <c r="R57" s="47" t="str">
        <f>IF(Recovery_Helper[[#This Row],[Check Line]],Recovery_Helper[[#This Row],[Index]],"")</f>
        <v/>
      </c>
      <c r="S57" s="56" t="str">
        <f>IF(Recovery_Helper[[#This Row],[Check Line]],IF(Recovery_Helper[[#This Row],[Index]]&lt;=Surplus[[#Totals],[Add to Recoveries]],1,2),"")</f>
        <v/>
      </c>
      <c r="T57" s="56" t="str">
        <f>IF(Recovery_Helper[[#This Row],[Check Line]],COUNTIFS(Recovery_Helper[Table],Recovery_Helper[[#This Row],[Table]],Recovery_Helper[Index],"&lt;="&amp;Recovery_Helper[[#This Row],[Index]]),"")</f>
        <v/>
      </c>
      <c r="U57" s="56" t="str">
        <f>IF(Recovery_Helper[[#This Row],[Check Line]],SMALL(CHOOSE(Recovery_Helper[[#This Row],[Table]],Surplus[Add to Recoveries],Requests[Reallocation Type]),Recovery_Helper[[#This Row],[Table Index]]),"")</f>
        <v/>
      </c>
    </row>
    <row r="58" spans="2:30" hidden="1" outlineLevel="1" x14ac:dyDescent="0.25">
      <c r="J58" s="105"/>
      <c r="K58" s="28" t="b">
        <f>Recovery_Helper[[#This Row],[Index]]&lt;=Count_Recoveries_New</f>
        <v>0</v>
      </c>
      <c r="L58">
        <f>ROW()-ROW(Recovery_Helper[[#Headers],[Index]])</f>
        <v>7</v>
      </c>
      <c r="M58" t="str">
        <f>IF(Recovery_Helper[[#This Row],[Check Line]],T(INDEX(CHOOSE(Recovery_Helper[[#This Row],[Table]],Surplus[TPBE],Requests[TPBE]),Recovery_Helper[[#This Row],[Table Unique Index]])),"")</f>
        <v/>
      </c>
      <c r="N58" t="str">
        <f>IF(Recovery_Helper[[#This Row],[Check Line]],T(INDEX(CHOOSE(Recovery_Helper[[#This Row],[Table]],Surplus[Functional Centre],Requests[FC]),Recovery_Helper[[#This Row],[Table Unique Index]])),"")</f>
        <v/>
      </c>
      <c r="O58" s="28">
        <f>SUMIFS(Surplus[Surplus],Surplus[TPBE],Recovery_Helper[[#This Row],[TPBE]],Surplus[Functional Centre],Recovery_Helper[[#This Row],[Functional Centre]])</f>
        <v>0</v>
      </c>
      <c r="P58" s="28">
        <f>IF(Recovery_Helper[[#This Row],[Check Line]],IF(COUNTBLANK(Recovery_Helper[[#This Row],[TPBE]:[Functional Centre]])=0,-1*SUMIFS(Requests[Adj. Amount],Requests[TPBE],Recovery_Helper[[#This Row],[TPBE]],Requests[FC],Recovery_Helper[[#This Row],[Functional Centre]],Requests[Adj. Amount],"&lt;0"),0),0)</f>
        <v>0</v>
      </c>
      <c r="Q58" s="28">
        <f>Recovery_Helper[[#This Row],[Forecasted Surplus]]-Recovery_Helper[[#This Row],[Surplus Usage Request]]</f>
        <v>0</v>
      </c>
      <c r="R58" s="47" t="str">
        <f>IF(Recovery_Helper[[#This Row],[Check Line]],Recovery_Helper[[#This Row],[Index]],"")</f>
        <v/>
      </c>
      <c r="S58" s="56" t="str">
        <f>IF(Recovery_Helper[[#This Row],[Check Line]],IF(Recovery_Helper[[#This Row],[Index]]&lt;=Surplus[[#Totals],[Add to Recoveries]],1,2),"")</f>
        <v/>
      </c>
      <c r="T58" s="56" t="str">
        <f>IF(Recovery_Helper[[#This Row],[Check Line]],COUNTIFS(Recovery_Helper[Table],Recovery_Helper[[#This Row],[Table]],Recovery_Helper[Index],"&lt;="&amp;Recovery_Helper[[#This Row],[Index]]),"")</f>
        <v/>
      </c>
      <c r="U58" s="56" t="str">
        <f>IF(Recovery_Helper[[#This Row],[Check Line]],SMALL(CHOOSE(Recovery_Helper[[#This Row],[Table]],Surplus[Add to Recoveries],Requests[Reallocation Type]),Recovery_Helper[[#This Row],[Table Index]]),"")</f>
        <v/>
      </c>
    </row>
    <row r="59" spans="2:30" hidden="1" outlineLevel="1" x14ac:dyDescent="0.25">
      <c r="J59" s="105"/>
      <c r="K59" s="28" t="b">
        <f>Recovery_Helper[[#This Row],[Index]]&lt;=Count_Recoveries_New</f>
        <v>0</v>
      </c>
      <c r="L59">
        <f>ROW()-ROW(Recovery_Helper[[#Headers],[Index]])</f>
        <v>8</v>
      </c>
      <c r="M59" t="str">
        <f>IF(Recovery_Helper[[#This Row],[Check Line]],T(INDEX(CHOOSE(Recovery_Helper[[#This Row],[Table]],Surplus[TPBE],Requests[TPBE]),Recovery_Helper[[#This Row],[Table Unique Index]])),"")</f>
        <v/>
      </c>
      <c r="N59" t="str">
        <f>IF(Recovery_Helper[[#This Row],[Check Line]],T(INDEX(CHOOSE(Recovery_Helper[[#This Row],[Table]],Surplus[Functional Centre],Requests[FC]),Recovery_Helper[[#This Row],[Table Unique Index]])),"")</f>
        <v/>
      </c>
      <c r="O59" s="28">
        <f>SUMIFS(Surplus[Surplus],Surplus[TPBE],Recovery_Helper[[#This Row],[TPBE]],Surplus[Functional Centre],Recovery_Helper[[#This Row],[Functional Centre]])</f>
        <v>0</v>
      </c>
      <c r="P59" s="28">
        <f>IF(Recovery_Helper[[#This Row],[Check Line]],IF(COUNTBLANK(Recovery_Helper[[#This Row],[TPBE]:[Functional Centre]])=0,-1*SUMIFS(Requests[Adj. Amount],Requests[TPBE],Recovery_Helper[[#This Row],[TPBE]],Requests[FC],Recovery_Helper[[#This Row],[Functional Centre]],Requests[Adj. Amount],"&lt;0"),0),0)</f>
        <v>0</v>
      </c>
      <c r="Q59" s="28">
        <f>Recovery_Helper[[#This Row],[Forecasted Surplus]]-Recovery_Helper[[#This Row],[Surplus Usage Request]]</f>
        <v>0</v>
      </c>
      <c r="R59" s="47" t="str">
        <f>IF(Recovery_Helper[[#This Row],[Check Line]],Recovery_Helper[[#This Row],[Index]],"")</f>
        <v/>
      </c>
      <c r="S59" s="56" t="str">
        <f>IF(Recovery_Helper[[#This Row],[Check Line]],IF(Recovery_Helper[[#This Row],[Index]]&lt;=Surplus[[#Totals],[Add to Recoveries]],1,2),"")</f>
        <v/>
      </c>
      <c r="T59" s="56" t="str">
        <f>IF(Recovery_Helper[[#This Row],[Check Line]],COUNTIFS(Recovery_Helper[Table],Recovery_Helper[[#This Row],[Table]],Recovery_Helper[Index],"&lt;="&amp;Recovery_Helper[[#This Row],[Index]]),"")</f>
        <v/>
      </c>
      <c r="U59" s="56" t="str">
        <f>IF(Recovery_Helper[[#This Row],[Check Line]],SMALL(CHOOSE(Recovery_Helper[[#This Row],[Table]],Surplus[Add to Recoveries],Requests[Reallocation Type]),Recovery_Helper[[#This Row],[Table Index]]),"")</f>
        <v/>
      </c>
    </row>
    <row r="60" spans="2:30" hidden="1" outlineLevel="1" x14ac:dyDescent="0.25">
      <c r="J60" s="105"/>
      <c r="K60" s="28" t="b">
        <f>Recovery_Helper[[#This Row],[Index]]&lt;=Count_Recoveries_New</f>
        <v>0</v>
      </c>
      <c r="L60">
        <f>ROW()-ROW(Recovery_Helper[[#Headers],[Index]])</f>
        <v>9</v>
      </c>
      <c r="M60" t="str">
        <f>IF(Recovery_Helper[[#This Row],[Check Line]],T(INDEX(CHOOSE(Recovery_Helper[[#This Row],[Table]],Surplus[TPBE],Requests[TPBE]),Recovery_Helper[[#This Row],[Table Unique Index]])),"")</f>
        <v/>
      </c>
      <c r="N60" t="str">
        <f>IF(Recovery_Helper[[#This Row],[Check Line]],T(INDEX(CHOOSE(Recovery_Helper[[#This Row],[Table]],Surplus[Functional Centre],Requests[FC]),Recovery_Helper[[#This Row],[Table Unique Index]])),"")</f>
        <v/>
      </c>
      <c r="O60" s="28">
        <f>SUMIFS(Surplus[Surplus],Surplus[TPBE],Recovery_Helper[[#This Row],[TPBE]],Surplus[Functional Centre],Recovery_Helper[[#This Row],[Functional Centre]])</f>
        <v>0</v>
      </c>
      <c r="P60" s="28">
        <f>IF(Recovery_Helper[[#This Row],[Check Line]],IF(COUNTBLANK(Recovery_Helper[[#This Row],[TPBE]:[Functional Centre]])=0,-1*SUMIFS(Requests[Adj. Amount],Requests[TPBE],Recovery_Helper[[#This Row],[TPBE]],Requests[FC],Recovery_Helper[[#This Row],[Functional Centre]],Requests[Adj. Amount],"&lt;0"),0),0)</f>
        <v>0</v>
      </c>
      <c r="Q60" s="28">
        <f>Recovery_Helper[[#This Row],[Forecasted Surplus]]-Recovery_Helper[[#This Row],[Surplus Usage Request]]</f>
        <v>0</v>
      </c>
      <c r="R60" s="47" t="str">
        <f>IF(Recovery_Helper[[#This Row],[Check Line]],Recovery_Helper[[#This Row],[Index]],"")</f>
        <v/>
      </c>
      <c r="S60" s="56" t="str">
        <f>IF(Recovery_Helper[[#This Row],[Check Line]],IF(Recovery_Helper[[#This Row],[Index]]&lt;=Surplus[[#Totals],[Add to Recoveries]],1,2),"")</f>
        <v/>
      </c>
      <c r="T60" s="56" t="str">
        <f>IF(Recovery_Helper[[#This Row],[Check Line]],COUNTIFS(Recovery_Helper[Table],Recovery_Helper[[#This Row],[Table]],Recovery_Helper[Index],"&lt;="&amp;Recovery_Helper[[#This Row],[Index]]),"")</f>
        <v/>
      </c>
      <c r="U60" s="56" t="str">
        <f>IF(Recovery_Helper[[#This Row],[Check Line]],SMALL(CHOOSE(Recovery_Helper[[#This Row],[Table]],Surplus[Add to Recoveries],Requests[Reallocation Type]),Recovery_Helper[[#This Row],[Table Index]]),"")</f>
        <v/>
      </c>
    </row>
    <row r="61" spans="2:30" hidden="1" outlineLevel="1" x14ac:dyDescent="0.25">
      <c r="K61" s="28" t="b">
        <f>Recovery_Helper[[#This Row],[Index]]&lt;=Count_Recoveries_New</f>
        <v>0</v>
      </c>
      <c r="L61">
        <f>ROW()-ROW(Recovery_Helper[[#Headers],[Index]])</f>
        <v>10</v>
      </c>
      <c r="M61" t="str">
        <f>IF(Recovery_Helper[[#This Row],[Check Line]],T(INDEX(CHOOSE(Recovery_Helper[[#This Row],[Table]],Surplus[TPBE],Requests[TPBE]),Recovery_Helper[[#This Row],[Table Unique Index]])),"")</f>
        <v/>
      </c>
      <c r="N61" t="str">
        <f>IF(Recovery_Helper[[#This Row],[Check Line]],T(INDEX(CHOOSE(Recovery_Helper[[#This Row],[Table]],Surplus[Functional Centre],Requests[FC]),Recovery_Helper[[#This Row],[Table Unique Index]])),"")</f>
        <v/>
      </c>
      <c r="O61" s="28">
        <f>SUMIFS(Surplus[Surplus],Surplus[TPBE],Recovery_Helper[[#This Row],[TPBE]],Surplus[Functional Centre],Recovery_Helper[[#This Row],[Functional Centre]])</f>
        <v>0</v>
      </c>
      <c r="P61" s="28">
        <f>IF(Recovery_Helper[[#This Row],[Check Line]],IF(COUNTBLANK(Recovery_Helper[[#This Row],[TPBE]:[Functional Centre]])=0,-1*SUMIFS(Requests[Adj. Amount],Requests[TPBE],Recovery_Helper[[#This Row],[TPBE]],Requests[FC],Recovery_Helper[[#This Row],[Functional Centre]],Requests[Adj. Amount],"&lt;0"),0),0)</f>
        <v>0</v>
      </c>
      <c r="Q61" s="28">
        <f>Recovery_Helper[[#This Row],[Forecasted Surplus]]-Recovery_Helper[[#This Row],[Surplus Usage Request]]</f>
        <v>0</v>
      </c>
      <c r="R61" s="47" t="str">
        <f>IF(Recovery_Helper[[#This Row],[Check Line]],Recovery_Helper[[#This Row],[Index]],"")</f>
        <v/>
      </c>
      <c r="S61" s="56" t="str">
        <f>IF(Recovery_Helper[[#This Row],[Check Line]],IF(Recovery_Helper[[#This Row],[Index]]&lt;=Surplus[[#Totals],[Add to Recoveries]],1,2),"")</f>
        <v/>
      </c>
      <c r="T61" s="56" t="str">
        <f>IF(Recovery_Helper[[#This Row],[Check Line]],COUNTIFS(Recovery_Helper[Table],Recovery_Helper[[#This Row],[Table]],Recovery_Helper[Index],"&lt;="&amp;Recovery_Helper[[#This Row],[Index]]),"")</f>
        <v/>
      </c>
      <c r="U61" s="56" t="str">
        <f>IF(Recovery_Helper[[#This Row],[Check Line]],SMALL(CHOOSE(Recovery_Helper[[#This Row],[Table]],Surplus[Add to Recoveries],Requests[Reallocation Type]),Recovery_Helper[[#This Row],[Table Index]]),"")</f>
        <v/>
      </c>
    </row>
    <row r="62" spans="2:30" hidden="1" outlineLevel="1" x14ac:dyDescent="0.25">
      <c r="K62" s="28" t="b">
        <f>Recovery_Helper[[#This Row],[Index]]&lt;=Count_Recoveries_New</f>
        <v>0</v>
      </c>
      <c r="L62">
        <f>ROW()-ROW(Recovery_Helper[[#Headers],[Index]])</f>
        <v>11</v>
      </c>
      <c r="M62" t="str">
        <f>IF(Recovery_Helper[[#This Row],[Check Line]],T(INDEX(CHOOSE(Recovery_Helper[[#This Row],[Table]],Surplus[TPBE],Requests[TPBE]),Recovery_Helper[[#This Row],[Table Unique Index]])),"")</f>
        <v/>
      </c>
      <c r="N62" t="str">
        <f>IF(Recovery_Helper[[#This Row],[Check Line]],T(INDEX(CHOOSE(Recovery_Helper[[#This Row],[Table]],Surplus[Functional Centre],Requests[FC]),Recovery_Helper[[#This Row],[Table Unique Index]])),"")</f>
        <v/>
      </c>
      <c r="O62" s="28">
        <f>SUMIFS(Surplus[Surplus],Surplus[TPBE],Recovery_Helper[[#This Row],[TPBE]],Surplus[Functional Centre],Recovery_Helper[[#This Row],[Functional Centre]])</f>
        <v>0</v>
      </c>
      <c r="P62" s="28">
        <f>IF(Recovery_Helper[[#This Row],[Check Line]],IF(COUNTBLANK(Recovery_Helper[[#This Row],[TPBE]:[Functional Centre]])=0,-1*SUMIFS(Requests[Adj. Amount],Requests[TPBE],Recovery_Helper[[#This Row],[TPBE]],Requests[FC],Recovery_Helper[[#This Row],[Functional Centre]],Requests[Adj. Amount],"&lt;0"),0),0)</f>
        <v>0</v>
      </c>
      <c r="Q62" s="28">
        <f>Recovery_Helper[[#This Row],[Forecasted Surplus]]-Recovery_Helper[[#This Row],[Surplus Usage Request]]</f>
        <v>0</v>
      </c>
      <c r="R62" s="47" t="str">
        <f>IF(Recovery_Helper[[#This Row],[Check Line]],Recovery_Helper[[#This Row],[Index]],"")</f>
        <v/>
      </c>
      <c r="S62" s="56" t="str">
        <f>IF(Recovery_Helper[[#This Row],[Check Line]],IF(Recovery_Helper[[#This Row],[Index]]&lt;=Surplus[[#Totals],[Add to Recoveries]],1,2),"")</f>
        <v/>
      </c>
      <c r="T62" s="56" t="str">
        <f>IF(Recovery_Helper[[#This Row],[Check Line]],COUNTIFS(Recovery_Helper[Table],Recovery_Helper[[#This Row],[Table]],Recovery_Helper[Index],"&lt;="&amp;Recovery_Helper[[#This Row],[Index]]),"")</f>
        <v/>
      </c>
      <c r="U62" s="56" t="str">
        <f>IF(Recovery_Helper[[#This Row],[Check Line]],SMALL(CHOOSE(Recovery_Helper[[#This Row],[Table]],Surplus[Add to Recoveries],Requests[Reallocation Type]),Recovery_Helper[[#This Row],[Table Index]]),"")</f>
        <v/>
      </c>
    </row>
    <row r="63" spans="2:30" hidden="1" outlineLevel="1" x14ac:dyDescent="0.25">
      <c r="K63" s="28" t="b">
        <f>Recovery_Helper[[#This Row],[Index]]&lt;=Count_Recoveries_New</f>
        <v>0</v>
      </c>
      <c r="L63">
        <f>ROW()-ROW(Recovery_Helper[[#Headers],[Index]])</f>
        <v>12</v>
      </c>
      <c r="M63" t="str">
        <f>IF(Recovery_Helper[[#This Row],[Check Line]],T(INDEX(CHOOSE(Recovery_Helper[[#This Row],[Table]],Surplus[TPBE],Requests[TPBE]),Recovery_Helper[[#This Row],[Table Unique Index]])),"")</f>
        <v/>
      </c>
      <c r="N63" t="str">
        <f>IF(Recovery_Helper[[#This Row],[Check Line]],T(INDEX(CHOOSE(Recovery_Helper[[#This Row],[Table]],Surplus[Functional Centre],Requests[FC]),Recovery_Helper[[#This Row],[Table Unique Index]])),"")</f>
        <v/>
      </c>
      <c r="O63" s="28">
        <f>SUMIFS(Surplus[Surplus],Surplus[TPBE],Recovery_Helper[[#This Row],[TPBE]],Surplus[Functional Centre],Recovery_Helper[[#This Row],[Functional Centre]])</f>
        <v>0</v>
      </c>
      <c r="P63" s="28">
        <f>IF(Recovery_Helper[[#This Row],[Check Line]],IF(COUNTBLANK(Recovery_Helper[[#This Row],[TPBE]:[Functional Centre]])=0,-1*SUMIFS(Requests[Adj. Amount],Requests[TPBE],Recovery_Helper[[#This Row],[TPBE]],Requests[FC],Recovery_Helper[[#This Row],[Functional Centre]],Requests[Adj. Amount],"&lt;0"),0),0)</f>
        <v>0</v>
      </c>
      <c r="Q63" s="28">
        <f>Recovery_Helper[[#This Row],[Forecasted Surplus]]-Recovery_Helper[[#This Row],[Surplus Usage Request]]</f>
        <v>0</v>
      </c>
      <c r="R63" s="47" t="str">
        <f>IF(Recovery_Helper[[#This Row],[Check Line]],Recovery_Helper[[#This Row],[Index]],"")</f>
        <v/>
      </c>
      <c r="S63" s="56" t="str">
        <f>IF(Recovery_Helper[[#This Row],[Check Line]],IF(Recovery_Helper[[#This Row],[Index]]&lt;=Surplus[[#Totals],[Add to Recoveries]],1,2),"")</f>
        <v/>
      </c>
      <c r="T63" s="56" t="str">
        <f>IF(Recovery_Helper[[#This Row],[Check Line]],COUNTIFS(Recovery_Helper[Table],Recovery_Helper[[#This Row],[Table]],Recovery_Helper[Index],"&lt;="&amp;Recovery_Helper[[#This Row],[Index]]),"")</f>
        <v/>
      </c>
      <c r="U63" s="56" t="str">
        <f>IF(Recovery_Helper[[#This Row],[Check Line]],SMALL(CHOOSE(Recovery_Helper[[#This Row],[Table]],Surplus[Add to Recoveries],Requests[Reallocation Type]),Recovery_Helper[[#This Row],[Table Index]]),"")</f>
        <v/>
      </c>
    </row>
    <row r="64" spans="2:30" s="52" customFormat="1" hidden="1" outlineLevel="1" x14ac:dyDescent="0.25">
      <c r="B64"/>
      <c r="C64"/>
      <c r="D64"/>
      <c r="E64"/>
      <c r="K64" s="28" t="b">
        <f>Recovery_Helper[[#This Row],[Index]]&lt;=Count_Recoveries_New</f>
        <v>0</v>
      </c>
      <c r="L64">
        <f>ROW()-ROW(Recovery_Helper[[#Headers],[Index]])</f>
        <v>13</v>
      </c>
      <c r="M64" t="str">
        <f>IF(Recovery_Helper[[#This Row],[Check Line]],T(INDEX(CHOOSE(Recovery_Helper[[#This Row],[Table]],Surplus[TPBE],Requests[TPBE]),Recovery_Helper[[#This Row],[Table Unique Index]])),"")</f>
        <v/>
      </c>
      <c r="N64" t="str">
        <f>IF(Recovery_Helper[[#This Row],[Check Line]],T(INDEX(CHOOSE(Recovery_Helper[[#This Row],[Table]],Surplus[Functional Centre],Requests[FC]),Recovery_Helper[[#This Row],[Table Unique Index]])),"")</f>
        <v/>
      </c>
      <c r="O64" s="28">
        <f>SUMIFS(Surplus[Surplus],Surplus[TPBE],Recovery_Helper[[#This Row],[TPBE]],Surplus[Functional Centre],Recovery_Helper[[#This Row],[Functional Centre]])</f>
        <v>0</v>
      </c>
      <c r="P64" s="28">
        <f>IF(Recovery_Helper[[#This Row],[Check Line]],IF(COUNTBLANK(Recovery_Helper[[#This Row],[TPBE]:[Functional Centre]])=0,-1*SUMIFS(Requests[Adj. Amount],Requests[TPBE],Recovery_Helper[[#This Row],[TPBE]],Requests[FC],Recovery_Helper[[#This Row],[Functional Centre]],Requests[Adj. Amount],"&lt;0"),0),0)</f>
        <v>0</v>
      </c>
      <c r="Q64" s="28">
        <f>Recovery_Helper[[#This Row],[Forecasted Surplus]]-Recovery_Helper[[#This Row],[Surplus Usage Request]]</f>
        <v>0</v>
      </c>
      <c r="R64" s="47" t="str">
        <f>IF(Recovery_Helper[[#This Row],[Check Line]],Recovery_Helper[[#This Row],[Index]],"")</f>
        <v/>
      </c>
      <c r="S64" s="56" t="str">
        <f>IF(Recovery_Helper[[#This Row],[Check Line]],IF(Recovery_Helper[[#This Row],[Index]]&lt;=Surplus[[#Totals],[Add to Recoveries]],1,2),"")</f>
        <v/>
      </c>
      <c r="T64" s="56" t="str">
        <f>IF(Recovery_Helper[[#This Row],[Check Line]],COUNTIFS(Recovery_Helper[Table],Recovery_Helper[[#This Row],[Table]],Recovery_Helper[Index],"&lt;="&amp;Recovery_Helper[[#This Row],[Index]]),"")</f>
        <v/>
      </c>
      <c r="U64" s="56" t="str">
        <f>IF(Recovery_Helper[[#This Row],[Check Line]],SMALL(CHOOSE(Recovery_Helper[[#This Row],[Table]],Surplus[Add to Recoveries],Requests[Reallocation Type]),Recovery_Helper[[#This Row],[Table Index]]),"")</f>
        <v/>
      </c>
      <c r="V64"/>
      <c r="W64"/>
      <c r="X64"/>
      <c r="Y64"/>
      <c r="Z64"/>
      <c r="AA64"/>
      <c r="AB64"/>
      <c r="AC64"/>
      <c r="AD64"/>
    </row>
    <row r="65" spans="11:21" hidden="1" outlineLevel="1" x14ac:dyDescent="0.25">
      <c r="K65" s="28" t="b">
        <f>Recovery_Helper[[#This Row],[Index]]&lt;=Count_Recoveries_New</f>
        <v>0</v>
      </c>
      <c r="L65">
        <f>ROW()-ROW(Recovery_Helper[[#Headers],[Index]])</f>
        <v>14</v>
      </c>
      <c r="M65" t="str">
        <f>IF(Recovery_Helper[[#This Row],[Check Line]],T(INDEX(CHOOSE(Recovery_Helper[[#This Row],[Table]],Surplus[TPBE],Requests[TPBE]),Recovery_Helper[[#This Row],[Table Unique Index]])),"")</f>
        <v/>
      </c>
      <c r="N65" t="str">
        <f>IF(Recovery_Helper[[#This Row],[Check Line]],T(INDEX(CHOOSE(Recovery_Helper[[#This Row],[Table]],Surplus[Functional Centre],Requests[FC]),Recovery_Helper[[#This Row],[Table Unique Index]])),"")</f>
        <v/>
      </c>
      <c r="O65" s="28">
        <f>SUMIFS(Surplus[Surplus],Surplus[TPBE],Recovery_Helper[[#This Row],[TPBE]],Surplus[Functional Centre],Recovery_Helper[[#This Row],[Functional Centre]])</f>
        <v>0</v>
      </c>
      <c r="P65" s="28">
        <f>IF(Recovery_Helper[[#This Row],[Check Line]],IF(COUNTBLANK(Recovery_Helper[[#This Row],[TPBE]:[Functional Centre]])=0,-1*SUMIFS(Requests[Adj. Amount],Requests[TPBE],Recovery_Helper[[#This Row],[TPBE]],Requests[FC],Recovery_Helper[[#This Row],[Functional Centre]],Requests[Adj. Amount],"&lt;0"),0),0)</f>
        <v>0</v>
      </c>
      <c r="Q65" s="28">
        <f>Recovery_Helper[[#This Row],[Forecasted Surplus]]-Recovery_Helper[[#This Row],[Surplus Usage Request]]</f>
        <v>0</v>
      </c>
      <c r="R65" s="47" t="str">
        <f>IF(Recovery_Helper[[#This Row],[Check Line]],Recovery_Helper[[#This Row],[Index]],"")</f>
        <v/>
      </c>
      <c r="S65" s="56" t="str">
        <f>IF(Recovery_Helper[[#This Row],[Check Line]],IF(Recovery_Helper[[#This Row],[Index]]&lt;=Surplus[[#Totals],[Add to Recoveries]],1,2),"")</f>
        <v/>
      </c>
      <c r="T65" s="56" t="str">
        <f>IF(Recovery_Helper[[#This Row],[Check Line]],COUNTIFS(Recovery_Helper[Table],Recovery_Helper[[#This Row],[Table]],Recovery_Helper[Index],"&lt;="&amp;Recovery_Helper[[#This Row],[Index]]),"")</f>
        <v/>
      </c>
      <c r="U65" s="56" t="str">
        <f>IF(Recovery_Helper[[#This Row],[Check Line]],SMALL(CHOOSE(Recovery_Helper[[#This Row],[Table]],Surplus[Add to Recoveries],Requests[Reallocation Type]),Recovery_Helper[[#This Row],[Table Index]]),"")</f>
        <v/>
      </c>
    </row>
    <row r="66" spans="11:21" hidden="1" outlineLevel="1" x14ac:dyDescent="0.25">
      <c r="K66" s="28" t="b">
        <f>Recovery_Helper[[#This Row],[Index]]&lt;=Count_Recoveries_New</f>
        <v>0</v>
      </c>
      <c r="L66">
        <f>ROW()-ROW(Recovery_Helper[[#Headers],[Index]])</f>
        <v>15</v>
      </c>
      <c r="M66" t="str">
        <f>IF(Recovery_Helper[[#This Row],[Check Line]],T(INDEX(CHOOSE(Recovery_Helper[[#This Row],[Table]],Surplus[TPBE],Requests[TPBE]),Recovery_Helper[[#This Row],[Table Unique Index]])),"")</f>
        <v/>
      </c>
      <c r="N66" t="str">
        <f>IF(Recovery_Helper[[#This Row],[Check Line]],T(INDEX(CHOOSE(Recovery_Helper[[#This Row],[Table]],Surplus[Functional Centre],Requests[FC]),Recovery_Helper[[#This Row],[Table Unique Index]])),"")</f>
        <v/>
      </c>
      <c r="O66" s="28">
        <f>SUMIFS(Surplus[Surplus],Surplus[TPBE],Recovery_Helper[[#This Row],[TPBE]],Surplus[Functional Centre],Recovery_Helper[[#This Row],[Functional Centre]])</f>
        <v>0</v>
      </c>
      <c r="P66" s="28">
        <f>IF(Recovery_Helper[[#This Row],[Check Line]],IF(COUNTBLANK(Recovery_Helper[[#This Row],[TPBE]:[Functional Centre]])=0,-1*SUMIFS(Requests[Adj. Amount],Requests[TPBE],Recovery_Helper[[#This Row],[TPBE]],Requests[FC],Recovery_Helper[[#This Row],[Functional Centre]],Requests[Adj. Amount],"&lt;0"),0),0)</f>
        <v>0</v>
      </c>
      <c r="Q66" s="28">
        <f>Recovery_Helper[[#This Row],[Forecasted Surplus]]-Recovery_Helper[[#This Row],[Surplus Usage Request]]</f>
        <v>0</v>
      </c>
      <c r="R66" s="47" t="str">
        <f>IF(Recovery_Helper[[#This Row],[Check Line]],Recovery_Helper[[#This Row],[Index]],"")</f>
        <v/>
      </c>
      <c r="S66" s="56" t="str">
        <f>IF(Recovery_Helper[[#This Row],[Check Line]],IF(Recovery_Helper[[#This Row],[Index]]&lt;=Surplus[[#Totals],[Add to Recoveries]],1,2),"")</f>
        <v/>
      </c>
      <c r="T66" s="56" t="str">
        <f>IF(Recovery_Helper[[#This Row],[Check Line]],COUNTIFS(Recovery_Helper[Table],Recovery_Helper[[#This Row],[Table]],Recovery_Helper[Index],"&lt;="&amp;Recovery_Helper[[#This Row],[Index]]),"")</f>
        <v/>
      </c>
      <c r="U66" s="56" t="str">
        <f>IF(Recovery_Helper[[#This Row],[Check Line]],SMALL(CHOOSE(Recovery_Helper[[#This Row],[Table]],Surplus[Add to Recoveries],Requests[Reallocation Type]),Recovery_Helper[[#This Row],[Table Index]]),"")</f>
        <v/>
      </c>
    </row>
    <row r="67" spans="11:21" hidden="1" outlineLevel="1" x14ac:dyDescent="0.25">
      <c r="K67" s="28" t="b">
        <f>Recovery_Helper[[#This Row],[Index]]&lt;=Count_Recoveries_New</f>
        <v>0</v>
      </c>
      <c r="L67">
        <f>ROW()-ROW(Recovery_Helper[[#Headers],[Index]])</f>
        <v>16</v>
      </c>
      <c r="M67" t="str">
        <f>IF(Recovery_Helper[[#This Row],[Check Line]],T(INDEX(CHOOSE(Recovery_Helper[[#This Row],[Table]],Surplus[TPBE],Requests[TPBE]),Recovery_Helper[[#This Row],[Table Unique Index]])),"")</f>
        <v/>
      </c>
      <c r="N67" t="str">
        <f>IF(Recovery_Helper[[#This Row],[Check Line]],T(INDEX(CHOOSE(Recovery_Helper[[#This Row],[Table]],Surplus[Functional Centre],Requests[FC]),Recovery_Helper[[#This Row],[Table Unique Index]])),"")</f>
        <v/>
      </c>
      <c r="O67" s="28">
        <f>SUMIFS(Surplus[Surplus],Surplus[TPBE],Recovery_Helper[[#This Row],[TPBE]],Surplus[Functional Centre],Recovery_Helper[[#This Row],[Functional Centre]])</f>
        <v>0</v>
      </c>
      <c r="P67" s="28">
        <f>IF(Recovery_Helper[[#This Row],[Check Line]],IF(COUNTBLANK(Recovery_Helper[[#This Row],[TPBE]:[Functional Centre]])=0,-1*SUMIFS(Requests[Adj. Amount],Requests[TPBE],Recovery_Helper[[#This Row],[TPBE]],Requests[FC],Recovery_Helper[[#This Row],[Functional Centre]],Requests[Adj. Amount],"&lt;0"),0),0)</f>
        <v>0</v>
      </c>
      <c r="Q67" s="28">
        <f>Recovery_Helper[[#This Row],[Forecasted Surplus]]-Recovery_Helper[[#This Row],[Surplus Usage Request]]</f>
        <v>0</v>
      </c>
      <c r="R67" s="47" t="str">
        <f>IF(Recovery_Helper[[#This Row],[Check Line]],Recovery_Helper[[#This Row],[Index]],"")</f>
        <v/>
      </c>
      <c r="S67" s="56" t="str">
        <f>IF(Recovery_Helper[[#This Row],[Check Line]],IF(Recovery_Helper[[#This Row],[Index]]&lt;=Surplus[[#Totals],[Add to Recoveries]],1,2),"")</f>
        <v/>
      </c>
      <c r="T67" s="56" t="str">
        <f>IF(Recovery_Helper[[#This Row],[Check Line]],COUNTIFS(Recovery_Helper[Table],Recovery_Helper[[#This Row],[Table]],Recovery_Helper[Index],"&lt;="&amp;Recovery_Helper[[#This Row],[Index]]),"")</f>
        <v/>
      </c>
      <c r="U67" s="56" t="str">
        <f>IF(Recovery_Helper[[#This Row],[Check Line]],SMALL(CHOOSE(Recovery_Helper[[#This Row],[Table]],Surplus[Add to Recoveries],Requests[Reallocation Type]),Recovery_Helper[[#This Row],[Table Index]]),"")</f>
        <v/>
      </c>
    </row>
    <row r="68" spans="11:21" hidden="1" outlineLevel="1" x14ac:dyDescent="0.25">
      <c r="K68" s="28" t="b">
        <f>Recovery_Helper[[#This Row],[Index]]&lt;=Count_Recoveries_New</f>
        <v>0</v>
      </c>
      <c r="L68">
        <f>ROW()-ROW(Recovery_Helper[[#Headers],[Index]])</f>
        <v>17</v>
      </c>
      <c r="M68" t="str">
        <f>IF(Recovery_Helper[[#This Row],[Check Line]],T(INDEX(CHOOSE(Recovery_Helper[[#This Row],[Table]],Surplus[TPBE],Requests[TPBE]),Recovery_Helper[[#This Row],[Table Unique Index]])),"")</f>
        <v/>
      </c>
      <c r="N68" t="str">
        <f>IF(Recovery_Helper[[#This Row],[Check Line]],T(INDEX(CHOOSE(Recovery_Helper[[#This Row],[Table]],Surplus[Functional Centre],Requests[FC]),Recovery_Helper[[#This Row],[Table Unique Index]])),"")</f>
        <v/>
      </c>
      <c r="O68" s="28">
        <f>SUMIFS(Surplus[Surplus],Surplus[TPBE],Recovery_Helper[[#This Row],[TPBE]],Surplus[Functional Centre],Recovery_Helper[[#This Row],[Functional Centre]])</f>
        <v>0</v>
      </c>
      <c r="P68" s="28">
        <f>IF(Recovery_Helper[[#This Row],[Check Line]],IF(COUNTBLANK(Recovery_Helper[[#This Row],[TPBE]:[Functional Centre]])=0,-1*SUMIFS(Requests[Adj. Amount],Requests[TPBE],Recovery_Helper[[#This Row],[TPBE]],Requests[FC],Recovery_Helper[[#This Row],[Functional Centre]],Requests[Adj. Amount],"&lt;0"),0),0)</f>
        <v>0</v>
      </c>
      <c r="Q68" s="28">
        <f>Recovery_Helper[[#This Row],[Forecasted Surplus]]-Recovery_Helper[[#This Row],[Surplus Usage Request]]</f>
        <v>0</v>
      </c>
      <c r="R68" s="47" t="str">
        <f>IF(Recovery_Helper[[#This Row],[Check Line]],Recovery_Helper[[#This Row],[Index]],"")</f>
        <v/>
      </c>
      <c r="S68" s="56" t="str">
        <f>IF(Recovery_Helper[[#This Row],[Check Line]],IF(Recovery_Helper[[#This Row],[Index]]&lt;=Surplus[[#Totals],[Add to Recoveries]],1,2),"")</f>
        <v/>
      </c>
      <c r="T68" s="56" t="str">
        <f>IF(Recovery_Helper[[#This Row],[Check Line]],COUNTIFS(Recovery_Helper[Table],Recovery_Helper[[#This Row],[Table]],Recovery_Helper[Index],"&lt;="&amp;Recovery_Helper[[#This Row],[Index]]),"")</f>
        <v/>
      </c>
      <c r="U68" s="56" t="str">
        <f>IF(Recovery_Helper[[#This Row],[Check Line]],SMALL(CHOOSE(Recovery_Helper[[#This Row],[Table]],Surplus[Add to Recoveries],Requests[Reallocation Type]),Recovery_Helper[[#This Row],[Table Index]]),"")</f>
        <v/>
      </c>
    </row>
    <row r="69" spans="11:21" hidden="1" outlineLevel="1" x14ac:dyDescent="0.25">
      <c r="K69" s="28" t="b">
        <f>Recovery_Helper[[#This Row],[Index]]&lt;=Count_Recoveries_New</f>
        <v>0</v>
      </c>
      <c r="L69">
        <f>ROW()-ROW(Recovery_Helper[[#Headers],[Index]])</f>
        <v>18</v>
      </c>
      <c r="M69" t="str">
        <f>IF(Recovery_Helper[[#This Row],[Check Line]],T(INDEX(CHOOSE(Recovery_Helper[[#This Row],[Table]],Surplus[TPBE],Requests[TPBE]),Recovery_Helper[[#This Row],[Table Unique Index]])),"")</f>
        <v/>
      </c>
      <c r="N69" t="str">
        <f>IF(Recovery_Helper[[#This Row],[Check Line]],T(INDEX(CHOOSE(Recovery_Helper[[#This Row],[Table]],Surplus[Functional Centre],Requests[FC]),Recovery_Helper[[#This Row],[Table Unique Index]])),"")</f>
        <v/>
      </c>
      <c r="O69" s="28">
        <f>SUMIFS(Surplus[Surplus],Surplus[TPBE],Recovery_Helper[[#This Row],[TPBE]],Surplus[Functional Centre],Recovery_Helper[[#This Row],[Functional Centre]])</f>
        <v>0</v>
      </c>
      <c r="P69" s="28">
        <f>IF(Recovery_Helper[[#This Row],[Check Line]],IF(COUNTBLANK(Recovery_Helper[[#This Row],[TPBE]:[Functional Centre]])=0,-1*SUMIFS(Requests[Adj. Amount],Requests[TPBE],Recovery_Helper[[#This Row],[TPBE]],Requests[FC],Recovery_Helper[[#This Row],[Functional Centre]],Requests[Adj. Amount],"&lt;0"),0),0)</f>
        <v>0</v>
      </c>
      <c r="Q69" s="28">
        <f>Recovery_Helper[[#This Row],[Forecasted Surplus]]-Recovery_Helper[[#This Row],[Surplus Usage Request]]</f>
        <v>0</v>
      </c>
      <c r="R69" s="47" t="str">
        <f>IF(Recovery_Helper[[#This Row],[Check Line]],Recovery_Helper[[#This Row],[Index]],"")</f>
        <v/>
      </c>
      <c r="S69" s="56" t="str">
        <f>IF(Recovery_Helper[[#This Row],[Check Line]],IF(Recovery_Helper[[#This Row],[Index]]&lt;=Surplus[[#Totals],[Add to Recoveries]],1,2),"")</f>
        <v/>
      </c>
      <c r="T69" s="56" t="str">
        <f>IF(Recovery_Helper[[#This Row],[Check Line]],COUNTIFS(Recovery_Helper[Table],Recovery_Helper[[#This Row],[Table]],Recovery_Helper[Index],"&lt;="&amp;Recovery_Helper[[#This Row],[Index]]),"")</f>
        <v/>
      </c>
      <c r="U69" s="56" t="str">
        <f>IF(Recovery_Helper[[#This Row],[Check Line]],SMALL(CHOOSE(Recovery_Helper[[#This Row],[Table]],Surplus[Add to Recoveries],Requests[Reallocation Type]),Recovery_Helper[[#This Row],[Table Index]]),"")</f>
        <v/>
      </c>
    </row>
    <row r="70" spans="11:21" hidden="1" outlineLevel="1" x14ac:dyDescent="0.25">
      <c r="K70" s="28" t="b">
        <f>Recovery_Helper[[#This Row],[Index]]&lt;=Count_Recoveries_New</f>
        <v>0</v>
      </c>
      <c r="L70">
        <f>ROW()-ROW(Recovery_Helper[[#Headers],[Index]])</f>
        <v>19</v>
      </c>
      <c r="M70" t="str">
        <f>IF(Recovery_Helper[[#This Row],[Check Line]],T(INDEX(CHOOSE(Recovery_Helper[[#This Row],[Table]],Surplus[TPBE],Requests[TPBE]),Recovery_Helper[[#This Row],[Table Unique Index]])),"")</f>
        <v/>
      </c>
      <c r="N70" t="str">
        <f>IF(Recovery_Helper[[#This Row],[Check Line]],T(INDEX(CHOOSE(Recovery_Helper[[#This Row],[Table]],Surplus[Functional Centre],Requests[FC]),Recovery_Helper[[#This Row],[Table Unique Index]])),"")</f>
        <v/>
      </c>
      <c r="O70" s="28">
        <f>SUMIFS(Surplus[Surplus],Surplus[TPBE],Recovery_Helper[[#This Row],[TPBE]],Surplus[Functional Centre],Recovery_Helper[[#This Row],[Functional Centre]])</f>
        <v>0</v>
      </c>
      <c r="P70" s="28">
        <f>IF(Recovery_Helper[[#This Row],[Check Line]],IF(COUNTBLANK(Recovery_Helper[[#This Row],[TPBE]:[Functional Centre]])=0,-1*SUMIFS(Requests[Adj. Amount],Requests[TPBE],Recovery_Helper[[#This Row],[TPBE]],Requests[FC],Recovery_Helper[[#This Row],[Functional Centre]],Requests[Adj. Amount],"&lt;0"),0),0)</f>
        <v>0</v>
      </c>
      <c r="Q70" s="28">
        <f>Recovery_Helper[[#This Row],[Forecasted Surplus]]-Recovery_Helper[[#This Row],[Surplus Usage Request]]</f>
        <v>0</v>
      </c>
      <c r="R70" s="47" t="str">
        <f>IF(Recovery_Helper[[#This Row],[Check Line]],Recovery_Helper[[#This Row],[Index]],"")</f>
        <v/>
      </c>
      <c r="S70" s="56" t="str">
        <f>IF(Recovery_Helper[[#This Row],[Check Line]],IF(Recovery_Helper[[#This Row],[Index]]&lt;=Surplus[[#Totals],[Add to Recoveries]],1,2),"")</f>
        <v/>
      </c>
      <c r="T70" s="56" t="str">
        <f>IF(Recovery_Helper[[#This Row],[Check Line]],COUNTIFS(Recovery_Helper[Table],Recovery_Helper[[#This Row],[Table]],Recovery_Helper[Index],"&lt;="&amp;Recovery_Helper[[#This Row],[Index]]),"")</f>
        <v/>
      </c>
      <c r="U70" s="56" t="str">
        <f>IF(Recovery_Helper[[#This Row],[Check Line]],SMALL(CHOOSE(Recovery_Helper[[#This Row],[Table]],Surplus[Add to Recoveries],Requests[Reallocation Type]),Recovery_Helper[[#This Row],[Table Index]]),"")</f>
        <v/>
      </c>
    </row>
    <row r="71" spans="11:21" hidden="1" outlineLevel="1" x14ac:dyDescent="0.25">
      <c r="K71" s="28" t="b">
        <f>Recovery_Helper[[#This Row],[Index]]&lt;=Count_Recoveries_New</f>
        <v>0</v>
      </c>
      <c r="L71">
        <f>ROW()-ROW(Recovery_Helper[[#Headers],[Index]])</f>
        <v>20</v>
      </c>
      <c r="M71" t="str">
        <f>IF(Recovery_Helper[[#This Row],[Check Line]],T(INDEX(CHOOSE(Recovery_Helper[[#This Row],[Table]],Surplus[TPBE],Requests[TPBE]),Recovery_Helper[[#This Row],[Table Unique Index]])),"")</f>
        <v/>
      </c>
      <c r="N71" t="str">
        <f>IF(Recovery_Helper[[#This Row],[Check Line]],T(INDEX(CHOOSE(Recovery_Helper[[#This Row],[Table]],Surplus[Functional Centre],Requests[FC]),Recovery_Helper[[#This Row],[Table Unique Index]])),"")</f>
        <v/>
      </c>
      <c r="O71" s="28">
        <f>SUMIFS(Surplus[Surplus],Surplus[TPBE],Recovery_Helper[[#This Row],[TPBE]],Surplus[Functional Centre],Recovery_Helper[[#This Row],[Functional Centre]])</f>
        <v>0</v>
      </c>
      <c r="P71" s="28">
        <f>IF(Recovery_Helper[[#This Row],[Check Line]],IF(COUNTBLANK(Recovery_Helper[[#This Row],[TPBE]:[Functional Centre]])=0,-1*SUMIFS(Requests[Adj. Amount],Requests[TPBE],Recovery_Helper[[#This Row],[TPBE]],Requests[FC],Recovery_Helper[[#This Row],[Functional Centre]],Requests[Adj. Amount],"&lt;0"),0),0)</f>
        <v>0</v>
      </c>
      <c r="Q71" s="28">
        <f>Recovery_Helper[[#This Row],[Forecasted Surplus]]-Recovery_Helper[[#This Row],[Surplus Usage Request]]</f>
        <v>0</v>
      </c>
      <c r="R71" s="47" t="str">
        <f>IF(Recovery_Helper[[#This Row],[Check Line]],Recovery_Helper[[#This Row],[Index]],"")</f>
        <v/>
      </c>
      <c r="S71" s="56" t="str">
        <f>IF(Recovery_Helper[[#This Row],[Check Line]],IF(Recovery_Helper[[#This Row],[Index]]&lt;=Surplus[[#Totals],[Add to Recoveries]],1,2),"")</f>
        <v/>
      </c>
      <c r="T71" s="56" t="str">
        <f>IF(Recovery_Helper[[#This Row],[Check Line]],COUNTIFS(Recovery_Helper[Table],Recovery_Helper[[#This Row],[Table]],Recovery_Helper[Index],"&lt;="&amp;Recovery_Helper[[#This Row],[Index]]),"")</f>
        <v/>
      </c>
      <c r="U71" s="56" t="str">
        <f>IF(Recovery_Helper[[#This Row],[Check Line]],SMALL(CHOOSE(Recovery_Helper[[#This Row],[Table]],Surplus[Add to Recoveries],Requests[Reallocation Type]),Recovery_Helper[[#This Row],[Table Index]]),"")</f>
        <v/>
      </c>
    </row>
    <row r="72" spans="11:21" hidden="1" outlineLevel="1" x14ac:dyDescent="0.25">
      <c r="K72" s="28" t="b">
        <f>Recovery_Helper[[#This Row],[Index]]&lt;=Count_Recoveries_New</f>
        <v>0</v>
      </c>
      <c r="L72">
        <f>ROW()-ROW(Recovery_Helper[[#Headers],[Index]])</f>
        <v>21</v>
      </c>
      <c r="M72" t="str">
        <f>IF(Recovery_Helper[[#This Row],[Check Line]],T(INDEX(CHOOSE(Recovery_Helper[[#This Row],[Table]],Surplus[TPBE],Requests[TPBE]),Recovery_Helper[[#This Row],[Table Unique Index]])),"")</f>
        <v/>
      </c>
      <c r="N72" t="str">
        <f>IF(Recovery_Helper[[#This Row],[Check Line]],T(INDEX(CHOOSE(Recovery_Helper[[#This Row],[Table]],Surplus[Functional Centre],Requests[FC]),Recovery_Helper[[#This Row],[Table Unique Index]])),"")</f>
        <v/>
      </c>
      <c r="O72" s="28">
        <f>SUMIFS(Surplus[Surplus],Surplus[TPBE],Recovery_Helper[[#This Row],[TPBE]],Surplus[Functional Centre],Recovery_Helper[[#This Row],[Functional Centre]])</f>
        <v>0</v>
      </c>
      <c r="P72" s="28">
        <f>IF(Recovery_Helper[[#This Row],[Check Line]],IF(COUNTBLANK(Recovery_Helper[[#This Row],[TPBE]:[Functional Centre]])=0,-1*SUMIFS(Requests[Adj. Amount],Requests[TPBE],Recovery_Helper[[#This Row],[TPBE]],Requests[FC],Recovery_Helper[[#This Row],[Functional Centre]],Requests[Adj. Amount],"&lt;0"),0),0)</f>
        <v>0</v>
      </c>
      <c r="Q72" s="28">
        <f>Recovery_Helper[[#This Row],[Forecasted Surplus]]-Recovery_Helper[[#This Row],[Surplus Usage Request]]</f>
        <v>0</v>
      </c>
      <c r="R72" s="47" t="str">
        <f>IF(Recovery_Helper[[#This Row],[Check Line]],Recovery_Helper[[#This Row],[Index]],"")</f>
        <v/>
      </c>
      <c r="S72" s="56" t="str">
        <f>IF(Recovery_Helper[[#This Row],[Check Line]],IF(Recovery_Helper[[#This Row],[Index]]&lt;=Surplus[[#Totals],[Add to Recoveries]],1,2),"")</f>
        <v/>
      </c>
      <c r="T72" s="56" t="str">
        <f>IF(Recovery_Helper[[#This Row],[Check Line]],COUNTIFS(Recovery_Helper[Table],Recovery_Helper[[#This Row],[Table]],Recovery_Helper[Index],"&lt;="&amp;Recovery_Helper[[#This Row],[Index]]),"")</f>
        <v/>
      </c>
      <c r="U72" s="56" t="str">
        <f>IF(Recovery_Helper[[#This Row],[Check Line]],SMALL(CHOOSE(Recovery_Helper[[#This Row],[Table]],Surplus[Add to Recoveries],Requests[Reallocation Type]),Recovery_Helper[[#This Row],[Table Index]]),"")</f>
        <v/>
      </c>
    </row>
    <row r="73" spans="11:21" hidden="1" outlineLevel="1" x14ac:dyDescent="0.25">
      <c r="K73" s="28" t="b">
        <f>Recovery_Helper[[#This Row],[Index]]&lt;=Count_Recoveries_New</f>
        <v>0</v>
      </c>
      <c r="L73">
        <f>ROW()-ROW(Recovery_Helper[[#Headers],[Index]])</f>
        <v>22</v>
      </c>
      <c r="M73" t="str">
        <f>IF(Recovery_Helper[[#This Row],[Check Line]],T(INDEX(CHOOSE(Recovery_Helper[[#This Row],[Table]],Surplus[TPBE],Requests[TPBE]),Recovery_Helper[[#This Row],[Table Unique Index]])),"")</f>
        <v/>
      </c>
      <c r="N73" t="str">
        <f>IF(Recovery_Helper[[#This Row],[Check Line]],T(INDEX(CHOOSE(Recovery_Helper[[#This Row],[Table]],Surplus[Functional Centre],Requests[FC]),Recovery_Helper[[#This Row],[Table Unique Index]])),"")</f>
        <v/>
      </c>
      <c r="O73" s="28">
        <f>SUMIFS(Surplus[Surplus],Surplus[TPBE],Recovery_Helper[[#This Row],[TPBE]],Surplus[Functional Centre],Recovery_Helper[[#This Row],[Functional Centre]])</f>
        <v>0</v>
      </c>
      <c r="P73" s="28">
        <f>IF(Recovery_Helper[[#This Row],[Check Line]],IF(COUNTBLANK(Recovery_Helper[[#This Row],[TPBE]:[Functional Centre]])=0,-1*SUMIFS(Requests[Adj. Amount],Requests[TPBE],Recovery_Helper[[#This Row],[TPBE]],Requests[FC],Recovery_Helper[[#This Row],[Functional Centre]],Requests[Adj. Amount],"&lt;0"),0),0)</f>
        <v>0</v>
      </c>
      <c r="Q73" s="28">
        <f>Recovery_Helper[[#This Row],[Forecasted Surplus]]-Recovery_Helper[[#This Row],[Surplus Usage Request]]</f>
        <v>0</v>
      </c>
      <c r="R73" s="47" t="str">
        <f>IF(Recovery_Helper[[#This Row],[Check Line]],Recovery_Helper[[#This Row],[Index]],"")</f>
        <v/>
      </c>
      <c r="S73" s="56" t="str">
        <f>IF(Recovery_Helper[[#This Row],[Check Line]],IF(Recovery_Helper[[#This Row],[Index]]&lt;=Surplus[[#Totals],[Add to Recoveries]],1,2),"")</f>
        <v/>
      </c>
      <c r="T73" s="56" t="str">
        <f>IF(Recovery_Helper[[#This Row],[Check Line]],COUNTIFS(Recovery_Helper[Table],Recovery_Helper[[#This Row],[Table]],Recovery_Helper[Index],"&lt;="&amp;Recovery_Helper[[#This Row],[Index]]),"")</f>
        <v/>
      </c>
      <c r="U73" s="56" t="str">
        <f>IF(Recovery_Helper[[#This Row],[Check Line]],SMALL(CHOOSE(Recovery_Helper[[#This Row],[Table]],Surplus[Add to Recoveries],Requests[Reallocation Type]),Recovery_Helper[[#This Row],[Table Index]]),"")</f>
        <v/>
      </c>
    </row>
    <row r="74" spans="11:21" hidden="1" outlineLevel="1" x14ac:dyDescent="0.25">
      <c r="K74" s="28" t="b">
        <f>Recovery_Helper[[#This Row],[Index]]&lt;=Count_Recoveries_New</f>
        <v>0</v>
      </c>
      <c r="L74">
        <f>ROW()-ROW(Recovery_Helper[[#Headers],[Index]])</f>
        <v>23</v>
      </c>
      <c r="M74" t="str">
        <f>IF(Recovery_Helper[[#This Row],[Check Line]],T(INDEX(CHOOSE(Recovery_Helper[[#This Row],[Table]],Surplus[TPBE],Requests[TPBE]),Recovery_Helper[[#This Row],[Table Unique Index]])),"")</f>
        <v/>
      </c>
      <c r="N74" t="str">
        <f>IF(Recovery_Helper[[#This Row],[Check Line]],T(INDEX(CHOOSE(Recovery_Helper[[#This Row],[Table]],Surplus[Functional Centre],Requests[FC]),Recovery_Helper[[#This Row],[Table Unique Index]])),"")</f>
        <v/>
      </c>
      <c r="O74" s="28">
        <f>SUMIFS(Surplus[Surplus],Surplus[TPBE],Recovery_Helper[[#This Row],[TPBE]],Surplus[Functional Centre],Recovery_Helper[[#This Row],[Functional Centre]])</f>
        <v>0</v>
      </c>
      <c r="P74" s="28">
        <f>IF(Recovery_Helper[[#This Row],[Check Line]],IF(COUNTBLANK(Recovery_Helper[[#This Row],[TPBE]:[Functional Centre]])=0,-1*SUMIFS(Requests[Adj. Amount],Requests[TPBE],Recovery_Helper[[#This Row],[TPBE]],Requests[FC],Recovery_Helper[[#This Row],[Functional Centre]],Requests[Adj. Amount],"&lt;0"),0),0)</f>
        <v>0</v>
      </c>
      <c r="Q74" s="28">
        <f>Recovery_Helper[[#This Row],[Forecasted Surplus]]-Recovery_Helper[[#This Row],[Surplus Usage Request]]</f>
        <v>0</v>
      </c>
      <c r="R74" s="47" t="str">
        <f>IF(Recovery_Helper[[#This Row],[Check Line]],Recovery_Helper[[#This Row],[Index]],"")</f>
        <v/>
      </c>
      <c r="S74" s="56" t="str">
        <f>IF(Recovery_Helper[[#This Row],[Check Line]],IF(Recovery_Helper[[#This Row],[Index]]&lt;=Surplus[[#Totals],[Add to Recoveries]],1,2),"")</f>
        <v/>
      </c>
      <c r="T74" s="56" t="str">
        <f>IF(Recovery_Helper[[#This Row],[Check Line]],COUNTIFS(Recovery_Helper[Table],Recovery_Helper[[#This Row],[Table]],Recovery_Helper[Index],"&lt;="&amp;Recovery_Helper[[#This Row],[Index]]),"")</f>
        <v/>
      </c>
      <c r="U74" s="56" t="str">
        <f>IF(Recovery_Helper[[#This Row],[Check Line]],SMALL(CHOOSE(Recovery_Helper[[#This Row],[Table]],Surplus[Add to Recoveries],Requests[Reallocation Type]),Recovery_Helper[[#This Row],[Table Index]]),"")</f>
        <v/>
      </c>
    </row>
    <row r="75" spans="11:21" collapsed="1" x14ac:dyDescent="0.25"/>
  </sheetData>
  <sheetProtection sheet="1" selectLockedCells="1"/>
  <mergeCells count="27">
    <mergeCell ref="S34:AE34"/>
    <mergeCell ref="S10:AE10"/>
    <mergeCell ref="M34:P34"/>
    <mergeCell ref="Z35:Z37"/>
    <mergeCell ref="Y35:Y37"/>
    <mergeCell ref="X35:X37"/>
    <mergeCell ref="W35:W37"/>
    <mergeCell ref="V35:V37"/>
    <mergeCell ref="AE35:AE37"/>
    <mergeCell ref="AD35:AD37"/>
    <mergeCell ref="AC35:AC37"/>
    <mergeCell ref="AB35:AB37"/>
    <mergeCell ref="AA35:AA37"/>
    <mergeCell ref="U35:U37"/>
    <mergeCell ref="T35:T37"/>
    <mergeCell ref="S35:S37"/>
    <mergeCell ref="B4:F5"/>
    <mergeCell ref="P35:P37"/>
    <mergeCell ref="O35:O37"/>
    <mergeCell ref="N35:N37"/>
    <mergeCell ref="M35:M37"/>
    <mergeCell ref="L10:Q10"/>
    <mergeCell ref="O6:Q6"/>
    <mergeCell ref="L6:N6"/>
    <mergeCell ref="L35:L37"/>
    <mergeCell ref="Q35:Q37"/>
    <mergeCell ref="G10:K10"/>
  </mergeCells>
  <conditionalFormatting sqref="P39:P48">
    <cfRule type="expression" dxfId="162" priority="14">
      <formula>$P39&gt;$O39</formula>
    </cfRule>
  </conditionalFormatting>
  <conditionalFormatting sqref="Q13:R29">
    <cfRule type="cellIs" dxfId="161" priority="13" operator="lessThan">
      <formula>0</formula>
    </cfRule>
  </conditionalFormatting>
  <conditionalFormatting sqref="Q30">
    <cfRule type="cellIs" dxfId="160" priority="11" operator="lessThan">
      <formula>0</formula>
    </cfRule>
  </conditionalFormatting>
  <conditionalFormatting sqref="P30:Q30">
    <cfRule type="expression" dxfId="159" priority="10">
      <formula>$Q$30&lt;&gt;0</formula>
    </cfRule>
  </conditionalFormatting>
  <conditionalFormatting sqref="M17:N17">
    <cfRule type="expression" dxfId="158" priority="9">
      <formula>#REF!="Restricted"</formula>
    </cfRule>
  </conditionalFormatting>
  <conditionalFormatting sqref="S13:AE28 S39:AE48">
    <cfRule type="expression" dxfId="157" priority="25">
      <formula>AND(_xlfn.IFNA(INDEX(INDIRECT("OHRS_M"),MATCH($N13,INDIRECT("OHRS_FC"),0),MATCH(S$9,INDIRECT("OHRSM_Index"),0)),"")="M",LEN(S13)&lt;&gt;0)</formula>
    </cfRule>
    <cfRule type="expression" dxfId="156" priority="26">
      <formula>AND(_xlfn.IFNA(INDEX(INDIRECT("OHRS_M"),MATCH($N13,INDIRECT("OHRS_FC"),0),MATCH(S$9,INDIRECT("OHRSM_Index"),0)),"")="M",LEN(S13)=0)</formula>
    </cfRule>
    <cfRule type="expression" dxfId="155" priority="27">
      <formula>_xlfn.IFNA(INDEX(INDIRECT("OHRS_M"),MATCH($N13,INDIRECT("OHRS_FC"),0),MATCH(S$9,INDIRECT("OHRSM_Index"),0)),"")&lt;&gt;"M"</formula>
    </cfRule>
  </conditionalFormatting>
  <conditionalFormatting sqref="L13:AE28">
    <cfRule type="cellIs" dxfId="154" priority="7" operator="lessThan">
      <formula>0</formula>
    </cfRule>
  </conditionalFormatting>
  <conditionalFormatting sqref="Q13:Q28">
    <cfRule type="expression" dxfId="153" priority="6">
      <formula>$L13="From"</formula>
    </cfRule>
  </conditionalFormatting>
  <conditionalFormatting sqref="G13:R28">
    <cfRule type="expression" dxfId="152" priority="3">
      <formula>NOT($J13)</formula>
    </cfRule>
  </conditionalFormatting>
  <conditionalFormatting sqref="L13:Q28">
    <cfRule type="expression" dxfId="151" priority="1">
      <formula>$I13&gt;$H13</formula>
    </cfRule>
    <cfRule type="expression" dxfId="150" priority="4">
      <formula>AND(ISEVEN($K13),ISBLANK(L13))</formula>
    </cfRule>
    <cfRule type="expression" dxfId="149" priority="5">
      <formula>AND(ISODD($K13),ISBLANK(L13))</formula>
    </cfRule>
  </conditionalFormatting>
  <conditionalFormatting sqref="B13:E19">
    <cfRule type="expression" dxfId="148" priority="2">
      <formula>$D13&gt;$C13</formula>
    </cfRule>
  </conditionalFormatting>
  <dataValidations count="2">
    <dataValidation type="decimal" allowBlank="1" showInputMessage="1" showErrorMessage="1" sqref="Q13:R28" xr:uid="{00000000-0002-0000-0300-000000000000}">
      <formula1>-999999999999</formula1>
      <formula2>999999999999</formula2>
    </dataValidation>
    <dataValidation type="list" allowBlank="1" showInputMessage="1" showErrorMessage="1" prompt="Select &quot;From&quot; to input the FC which funds are being transferred out of._x000a__x000a_Select &quot;To&quot; to input the FC which funds are being transferred into." sqref="L13:L28" xr:uid="{00000000-0002-0000-0300-000001000000}">
      <formula1>"From,To"</formula1>
    </dataValidation>
  </dataValidations>
  <pageMargins left="0.7" right="0.7" top="0.75" bottom="0.75" header="0.3" footer="0.3"/>
  <pageSetup orientation="portrait" horizontalDpi="1200" verticalDpi="1200" r:id="rId1"/>
  <tableParts count="4">
    <tablePart r:id="rId2"/>
    <tablePart r:id="rId3"/>
    <tablePart r:id="rId4"/>
    <tablePart r:id="rId5"/>
  </tableParts>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300-000002000000}">
          <x14:formula1>
            <xm:f>IF($L13="From",OFFSET(Surplus_DD_FC_Header,1,,Surplus_DD_Count),'Drop-Downs'!$Z$3:$Z$213)</xm:f>
          </x14:formula1>
          <xm:sqref>N13:N28</xm:sqref>
        </x14:dataValidation>
        <x14:dataValidation type="list" allowBlank="1" showInputMessage="1" showErrorMessage="1" xr:uid="{00000000-0002-0000-0300-000003000000}">
          <x14:formula1>
            <xm:f>IF($L13="To",OFFSET(TPBE_Surplus_DD_List,0,,Count_TPBE_Surplus_List),OFFSET('Drop-Downs'!$AT$2,1,,COUNT('Drop-Downs'!$AS$3:$AS$26)))</xm:f>
          </x14:formula1>
          <xm:sqref>M13:M28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P217"/>
  <sheetViews>
    <sheetView showGridLines="0" workbookViewId="0">
      <pane xSplit="2" ySplit="2" topLeftCell="C3" activePane="bottomRight" state="frozen"/>
      <selection pane="topRight" activeCell="C1" sqref="C1"/>
      <selection pane="bottomLeft" activeCell="A4" sqref="A4"/>
      <selection pane="bottomRight" activeCell="A3" sqref="A3:A217"/>
    </sheetView>
  </sheetViews>
  <sheetFormatPr defaultColWidth="0" defaultRowHeight="15" x14ac:dyDescent="0.25"/>
  <cols>
    <col min="1" max="1" width="36" customWidth="1"/>
    <col min="2" max="2" width="9.140625" customWidth="1"/>
    <col min="3" max="16" width="7" customWidth="1"/>
    <col min="17" max="16384" width="9.140625" hidden="1"/>
  </cols>
  <sheetData>
    <row r="1" spans="1:16" x14ac:dyDescent="0.25">
      <c r="C1" s="46">
        <v>1</v>
      </c>
      <c r="D1" s="46">
        <v>2</v>
      </c>
      <c r="E1" s="46">
        <v>3</v>
      </c>
      <c r="F1" s="46">
        <v>4</v>
      </c>
      <c r="G1" s="46">
        <v>5</v>
      </c>
      <c r="H1" s="46">
        <v>6</v>
      </c>
      <c r="I1" s="46">
        <v>7</v>
      </c>
      <c r="J1" s="46">
        <v>8</v>
      </c>
      <c r="K1" s="46">
        <v>9</v>
      </c>
      <c r="L1" s="46">
        <v>10</v>
      </c>
      <c r="M1" s="46">
        <v>11</v>
      </c>
      <c r="N1" s="46">
        <v>12</v>
      </c>
      <c r="O1" s="46">
        <v>13</v>
      </c>
      <c r="P1" s="46">
        <v>14</v>
      </c>
    </row>
    <row r="2" spans="1:16" ht="262.5" x14ac:dyDescent="0.25">
      <c r="A2" s="45" t="s">
        <v>20</v>
      </c>
      <c r="B2" s="45" t="s">
        <v>1041</v>
      </c>
      <c r="C2" s="45" t="s">
        <v>1007</v>
      </c>
      <c r="D2" s="45" t="s">
        <v>13</v>
      </c>
      <c r="E2" s="45" t="s">
        <v>1042</v>
      </c>
      <c r="F2" s="45" t="s">
        <v>1043</v>
      </c>
      <c r="G2" s="45" t="s">
        <v>1044</v>
      </c>
      <c r="H2" s="45" t="s">
        <v>1045</v>
      </c>
      <c r="I2" s="45" t="s">
        <v>1013</v>
      </c>
      <c r="J2" s="45" t="s">
        <v>1014</v>
      </c>
      <c r="K2" s="45" t="s">
        <v>1046</v>
      </c>
      <c r="L2" s="45" t="s">
        <v>1047</v>
      </c>
      <c r="M2" s="45" t="s">
        <v>1048</v>
      </c>
      <c r="N2" s="45" t="s">
        <v>1017</v>
      </c>
      <c r="O2" s="45" t="s">
        <v>1018</v>
      </c>
      <c r="P2" s="45" t="s">
        <v>1019</v>
      </c>
    </row>
    <row r="3" spans="1:16" x14ac:dyDescent="0.25">
      <c r="A3" t="s">
        <v>1049</v>
      </c>
      <c r="C3" s="46"/>
      <c r="D3" s="46"/>
      <c r="E3" s="46"/>
      <c r="F3" s="46"/>
      <c r="G3" s="46"/>
      <c r="H3" s="46"/>
      <c r="I3" s="46"/>
      <c r="J3" s="46"/>
      <c r="K3" s="46"/>
      <c r="L3" s="46"/>
      <c r="M3" s="46"/>
      <c r="N3" s="46"/>
      <c r="O3" s="46"/>
      <c r="P3" s="46"/>
    </row>
    <row r="4" spans="1:16" x14ac:dyDescent="0.25">
      <c r="A4" t="s">
        <v>1050</v>
      </c>
      <c r="B4" t="s">
        <v>465</v>
      </c>
      <c r="C4" s="46" t="s">
        <v>1269</v>
      </c>
      <c r="D4" s="46"/>
      <c r="E4" s="46"/>
      <c r="F4" s="46"/>
      <c r="G4" s="46"/>
      <c r="H4" s="46"/>
      <c r="I4" s="46"/>
      <c r="J4" s="46"/>
      <c r="K4" s="46"/>
      <c r="L4" s="46" t="s">
        <v>1269</v>
      </c>
      <c r="M4" s="46"/>
      <c r="N4" s="46"/>
      <c r="O4" s="46"/>
      <c r="P4" s="46"/>
    </row>
    <row r="5" spans="1:16" x14ac:dyDescent="0.25">
      <c r="A5" t="s">
        <v>1051</v>
      </c>
      <c r="B5" t="s">
        <v>45</v>
      </c>
      <c r="C5" s="46" t="s">
        <v>1269</v>
      </c>
      <c r="D5" s="46"/>
      <c r="E5" s="46"/>
      <c r="F5" s="46"/>
      <c r="G5" s="46"/>
      <c r="H5" s="46"/>
      <c r="I5" s="46"/>
      <c r="J5" s="46"/>
      <c r="K5" s="46"/>
      <c r="L5" s="46" t="s">
        <v>1269</v>
      </c>
      <c r="M5" s="46"/>
      <c r="N5" s="46"/>
      <c r="O5" s="46"/>
      <c r="P5" s="46"/>
    </row>
    <row r="6" spans="1:16" x14ac:dyDescent="0.25">
      <c r="A6" t="s">
        <v>1052</v>
      </c>
      <c r="B6" t="s">
        <v>53</v>
      </c>
      <c r="C6" s="46" t="s">
        <v>1269</v>
      </c>
      <c r="D6" s="46"/>
      <c r="E6" s="46"/>
      <c r="F6" s="46"/>
      <c r="G6" s="46"/>
      <c r="H6" s="46"/>
      <c r="I6" s="46"/>
      <c r="J6" s="46"/>
      <c r="K6" s="46"/>
      <c r="L6" s="46" t="s">
        <v>1269</v>
      </c>
      <c r="M6" s="46"/>
      <c r="N6" s="46"/>
      <c r="O6" s="46"/>
      <c r="P6" s="46"/>
    </row>
    <row r="7" spans="1:16" x14ac:dyDescent="0.25">
      <c r="A7" t="s">
        <v>1053</v>
      </c>
      <c r="B7" t="s">
        <v>55</v>
      </c>
      <c r="C7" s="46" t="s">
        <v>1269</v>
      </c>
      <c r="D7" s="46"/>
      <c r="E7" s="46"/>
      <c r="F7" s="46"/>
      <c r="G7" s="46"/>
      <c r="H7" s="46"/>
      <c r="I7" s="46"/>
      <c r="J7" s="46"/>
      <c r="K7" s="46"/>
      <c r="L7" s="46" t="s">
        <v>1269</v>
      </c>
      <c r="M7" s="46"/>
      <c r="N7" s="46"/>
      <c r="O7" s="46"/>
      <c r="P7" s="46" t="s">
        <v>1269</v>
      </c>
    </row>
    <row r="8" spans="1:16" x14ac:dyDescent="0.25">
      <c r="A8" t="s">
        <v>1026</v>
      </c>
      <c r="B8" t="s">
        <v>47</v>
      </c>
      <c r="C8" s="46" t="s">
        <v>1269</v>
      </c>
      <c r="D8" s="46"/>
      <c r="E8" s="46"/>
      <c r="F8" s="46"/>
      <c r="G8" s="46"/>
      <c r="H8" s="46"/>
      <c r="I8" s="46"/>
      <c r="J8" s="46"/>
      <c r="K8" s="46"/>
      <c r="L8" s="46" t="s">
        <v>1269</v>
      </c>
      <c r="M8" s="46"/>
      <c r="N8" s="46"/>
      <c r="O8" s="46"/>
      <c r="P8" s="46"/>
    </row>
    <row r="9" spans="1:16" x14ac:dyDescent="0.25">
      <c r="A9" t="s">
        <v>1054</v>
      </c>
      <c r="B9" t="s">
        <v>49</v>
      </c>
      <c r="C9" s="46" t="s">
        <v>1269</v>
      </c>
      <c r="D9" s="46"/>
      <c r="E9" s="46"/>
      <c r="F9" s="46"/>
      <c r="G9" s="46"/>
      <c r="H9" s="46"/>
      <c r="I9" s="46"/>
      <c r="J9" s="46"/>
      <c r="K9" s="46"/>
      <c r="L9" s="46" t="s">
        <v>1269</v>
      </c>
      <c r="M9" s="46"/>
      <c r="N9" s="46"/>
      <c r="O9" s="46"/>
      <c r="P9" s="46"/>
    </row>
    <row r="10" spans="1:16" x14ac:dyDescent="0.25">
      <c r="A10" t="s">
        <v>1027</v>
      </c>
      <c r="B10" t="s">
        <v>51</v>
      </c>
      <c r="C10" s="46" t="s">
        <v>1269</v>
      </c>
      <c r="D10" s="46"/>
      <c r="E10" s="46"/>
      <c r="F10" s="46"/>
      <c r="G10" s="46"/>
      <c r="H10" s="46"/>
      <c r="I10" s="46"/>
      <c r="J10" s="46"/>
      <c r="K10" s="46"/>
      <c r="L10" s="46" t="s">
        <v>1269</v>
      </c>
      <c r="M10" s="46"/>
      <c r="N10" s="46"/>
      <c r="O10" s="46"/>
      <c r="P10" s="46"/>
    </row>
    <row r="11" spans="1:16" x14ac:dyDescent="0.25">
      <c r="A11" t="s">
        <v>1055</v>
      </c>
      <c r="B11" t="s">
        <v>57</v>
      </c>
      <c r="C11" s="46" t="s">
        <v>1269</v>
      </c>
      <c r="D11" s="46" t="s">
        <v>1269</v>
      </c>
      <c r="E11" s="46" t="s">
        <v>1269</v>
      </c>
      <c r="F11" s="46"/>
      <c r="G11" s="46"/>
      <c r="H11" s="46" t="s">
        <v>1269</v>
      </c>
      <c r="I11" s="46"/>
      <c r="J11" s="46" t="s">
        <v>1269</v>
      </c>
      <c r="K11" s="46"/>
      <c r="L11" s="46" t="s">
        <v>1269</v>
      </c>
      <c r="M11" s="46" t="s">
        <v>1269</v>
      </c>
      <c r="N11" s="46" t="s">
        <v>1269</v>
      </c>
      <c r="O11" s="46" t="s">
        <v>1269</v>
      </c>
      <c r="P11" s="46"/>
    </row>
    <row r="12" spans="1:16" x14ac:dyDescent="0.25">
      <c r="A12" t="s">
        <v>1056</v>
      </c>
      <c r="B12" t="s">
        <v>59</v>
      </c>
      <c r="C12" s="46" t="s">
        <v>1269</v>
      </c>
      <c r="D12" s="46" t="s">
        <v>1269</v>
      </c>
      <c r="E12" s="46" t="s">
        <v>1269</v>
      </c>
      <c r="F12" s="46"/>
      <c r="G12" s="46"/>
      <c r="H12" s="46" t="s">
        <v>1269</v>
      </c>
      <c r="I12" s="46"/>
      <c r="J12" s="46" t="s">
        <v>1269</v>
      </c>
      <c r="K12" s="46"/>
      <c r="L12" s="46" t="s">
        <v>1269</v>
      </c>
      <c r="M12" s="46" t="s">
        <v>1269</v>
      </c>
      <c r="N12" s="46"/>
      <c r="O12" s="46"/>
      <c r="P12" s="46"/>
    </row>
    <row r="13" spans="1:16" x14ac:dyDescent="0.25">
      <c r="A13" t="s">
        <v>1057</v>
      </c>
      <c r="B13" t="s">
        <v>61</v>
      </c>
      <c r="C13" s="46" t="s">
        <v>1269</v>
      </c>
      <c r="D13" s="46" t="s">
        <v>1269</v>
      </c>
      <c r="E13" s="46" t="s">
        <v>1269</v>
      </c>
      <c r="F13" s="46"/>
      <c r="G13" s="46"/>
      <c r="H13" s="46" t="s">
        <v>1269</v>
      </c>
      <c r="I13" s="46"/>
      <c r="J13" s="46" t="s">
        <v>1269</v>
      </c>
      <c r="K13" s="46"/>
      <c r="L13" s="46" t="s">
        <v>1269</v>
      </c>
      <c r="M13" s="46" t="s">
        <v>1269</v>
      </c>
      <c r="N13" s="46" t="s">
        <v>1269</v>
      </c>
      <c r="O13" s="46" t="s">
        <v>1269</v>
      </c>
      <c r="P13" s="46" t="s">
        <v>1269</v>
      </c>
    </row>
    <row r="14" spans="1:16" x14ac:dyDescent="0.25">
      <c r="A14" t="s">
        <v>1058</v>
      </c>
      <c r="B14" t="s">
        <v>63</v>
      </c>
      <c r="C14" s="46" t="s">
        <v>1269</v>
      </c>
      <c r="D14" s="46" t="s">
        <v>1269</v>
      </c>
      <c r="E14" s="46" t="s">
        <v>1269</v>
      </c>
      <c r="F14" s="46"/>
      <c r="G14" s="46"/>
      <c r="H14" s="46" t="s">
        <v>1269</v>
      </c>
      <c r="I14" s="46"/>
      <c r="J14" s="46" t="s">
        <v>1269</v>
      </c>
      <c r="K14" s="46"/>
      <c r="L14" s="46" t="s">
        <v>1269</v>
      </c>
      <c r="M14" s="46" t="s">
        <v>1269</v>
      </c>
      <c r="N14" s="46" t="s">
        <v>1269</v>
      </c>
      <c r="O14" s="46" t="s">
        <v>1269</v>
      </c>
      <c r="P14" s="46"/>
    </row>
    <row r="15" spans="1:16" x14ac:dyDescent="0.25">
      <c r="A15" t="s">
        <v>1059</v>
      </c>
      <c r="B15" t="s">
        <v>65</v>
      </c>
      <c r="C15" s="46" t="s">
        <v>1269</v>
      </c>
      <c r="D15" s="46" t="s">
        <v>1269</v>
      </c>
      <c r="E15" s="46" t="s">
        <v>1269</v>
      </c>
      <c r="F15" s="46"/>
      <c r="G15" s="46"/>
      <c r="H15" s="46" t="s">
        <v>1269</v>
      </c>
      <c r="I15" s="46"/>
      <c r="J15" s="46" t="s">
        <v>1269</v>
      </c>
      <c r="K15" s="46"/>
      <c r="L15" s="46" t="s">
        <v>1269</v>
      </c>
      <c r="M15" s="46" t="s">
        <v>1269</v>
      </c>
      <c r="N15" s="46" t="s">
        <v>1269</v>
      </c>
      <c r="O15" s="46" t="s">
        <v>1269</v>
      </c>
      <c r="P15" s="46"/>
    </row>
    <row r="16" spans="1:16" x14ac:dyDescent="0.25">
      <c r="A16" t="s">
        <v>1060</v>
      </c>
      <c r="B16" t="s">
        <v>67</v>
      </c>
      <c r="C16" s="46" t="s">
        <v>1269</v>
      </c>
      <c r="D16" s="46" t="s">
        <v>1269</v>
      </c>
      <c r="E16" s="46" t="s">
        <v>1269</v>
      </c>
      <c r="F16" s="46"/>
      <c r="G16" s="46"/>
      <c r="H16" s="46" t="s">
        <v>1269</v>
      </c>
      <c r="I16" s="46"/>
      <c r="J16" s="46" t="s">
        <v>1269</v>
      </c>
      <c r="K16" s="46"/>
      <c r="L16" s="46" t="s">
        <v>1269</v>
      </c>
      <c r="M16" s="46" t="s">
        <v>1269</v>
      </c>
      <c r="N16" s="46" t="s">
        <v>1269</v>
      </c>
      <c r="O16" s="46" t="s">
        <v>1269</v>
      </c>
      <c r="P16" s="46"/>
    </row>
    <row r="17" spans="1:16" x14ac:dyDescent="0.25">
      <c r="A17" t="s">
        <v>1061</v>
      </c>
      <c r="B17" t="s">
        <v>69</v>
      </c>
      <c r="C17" s="46" t="s">
        <v>1269</v>
      </c>
      <c r="D17" s="46" t="s">
        <v>1269</v>
      </c>
      <c r="E17" s="46"/>
      <c r="F17" s="46"/>
      <c r="G17" s="46"/>
      <c r="H17" s="46" t="s">
        <v>1269</v>
      </c>
      <c r="I17" s="46" t="s">
        <v>1269</v>
      </c>
      <c r="J17" s="46"/>
      <c r="K17" s="46"/>
      <c r="L17" s="46" t="s">
        <v>1269</v>
      </c>
      <c r="M17" s="46"/>
      <c r="N17" s="46" t="s">
        <v>1269</v>
      </c>
      <c r="O17" s="46" t="s">
        <v>1269</v>
      </c>
      <c r="P17" s="46"/>
    </row>
    <row r="18" spans="1:16" x14ac:dyDescent="0.25">
      <c r="A18" t="s">
        <v>1062</v>
      </c>
      <c r="B18" t="s">
        <v>71</v>
      </c>
      <c r="C18" s="46" t="s">
        <v>1269</v>
      </c>
      <c r="D18" s="46"/>
      <c r="E18" s="46" t="s">
        <v>1269</v>
      </c>
      <c r="F18" s="46"/>
      <c r="G18" s="46"/>
      <c r="H18" s="46" t="s">
        <v>1269</v>
      </c>
      <c r="I18" s="46"/>
      <c r="J18" s="46"/>
      <c r="K18" s="46"/>
      <c r="L18" s="46" t="s">
        <v>1269</v>
      </c>
      <c r="M18" s="46"/>
      <c r="N18" s="46"/>
      <c r="O18" s="46"/>
      <c r="P18" s="46"/>
    </row>
    <row r="19" spans="1:16" x14ac:dyDescent="0.25">
      <c r="A19" t="s">
        <v>1063</v>
      </c>
      <c r="B19" t="s">
        <v>73</v>
      </c>
      <c r="C19" s="46" t="s">
        <v>1269</v>
      </c>
      <c r="D19" s="46"/>
      <c r="E19" s="46" t="s">
        <v>1269</v>
      </c>
      <c r="F19" s="46"/>
      <c r="G19" s="46"/>
      <c r="H19" s="46" t="s">
        <v>1269</v>
      </c>
      <c r="I19" s="46"/>
      <c r="J19" s="46" t="s">
        <v>1269</v>
      </c>
      <c r="K19" s="46"/>
      <c r="L19" s="46" t="s">
        <v>1269</v>
      </c>
      <c r="M19" s="46" t="s">
        <v>1269</v>
      </c>
      <c r="N19" s="46" t="s">
        <v>1269</v>
      </c>
      <c r="O19" s="46" t="s">
        <v>1269</v>
      </c>
      <c r="P19" s="46"/>
    </row>
    <row r="20" spans="1:16" x14ac:dyDescent="0.25">
      <c r="A20" t="s">
        <v>1064</v>
      </c>
      <c r="B20" t="s">
        <v>75</v>
      </c>
      <c r="C20" s="46" t="s">
        <v>1269</v>
      </c>
      <c r="D20" s="46" t="s">
        <v>1269</v>
      </c>
      <c r="E20" s="46" t="s">
        <v>1269</v>
      </c>
      <c r="F20" s="46"/>
      <c r="G20" s="46"/>
      <c r="H20" s="46" t="s">
        <v>1269</v>
      </c>
      <c r="I20" s="46"/>
      <c r="J20" s="46" t="s">
        <v>1269</v>
      </c>
      <c r="K20" s="46"/>
      <c r="L20" s="46" t="s">
        <v>1269</v>
      </c>
      <c r="M20" s="46" t="s">
        <v>1269</v>
      </c>
      <c r="N20" s="46" t="s">
        <v>1269</v>
      </c>
      <c r="O20" s="46" t="s">
        <v>1269</v>
      </c>
      <c r="P20" s="46"/>
    </row>
    <row r="21" spans="1:16" x14ac:dyDescent="0.25">
      <c r="A21" t="s">
        <v>1065</v>
      </c>
      <c r="B21" t="s">
        <v>77</v>
      </c>
      <c r="C21" s="46" t="s">
        <v>1269</v>
      </c>
      <c r="D21" s="46"/>
      <c r="E21" s="46" t="s">
        <v>1269</v>
      </c>
      <c r="F21" s="46"/>
      <c r="G21" s="46"/>
      <c r="H21" s="46" t="s">
        <v>1269</v>
      </c>
      <c r="I21" s="46"/>
      <c r="J21" s="46" t="s">
        <v>1269</v>
      </c>
      <c r="K21" s="46"/>
      <c r="L21" s="46" t="s">
        <v>1269</v>
      </c>
      <c r="M21" s="46" t="s">
        <v>1269</v>
      </c>
      <c r="N21" s="46" t="s">
        <v>1269</v>
      </c>
      <c r="O21" s="46" t="s">
        <v>1269</v>
      </c>
      <c r="P21" s="46"/>
    </row>
    <row r="22" spans="1:16" x14ac:dyDescent="0.25">
      <c r="A22" t="s">
        <v>1066</v>
      </c>
      <c r="B22" t="s">
        <v>79</v>
      </c>
      <c r="C22" s="46" t="s">
        <v>1269</v>
      </c>
      <c r="D22" s="46"/>
      <c r="E22" s="46" t="s">
        <v>1269</v>
      </c>
      <c r="F22" s="46"/>
      <c r="G22" s="46"/>
      <c r="H22" s="46" t="s">
        <v>1269</v>
      </c>
      <c r="I22" s="46"/>
      <c r="J22" s="46" t="s">
        <v>1269</v>
      </c>
      <c r="K22" s="46"/>
      <c r="L22" s="46" t="s">
        <v>1269</v>
      </c>
      <c r="M22" s="46" t="s">
        <v>1269</v>
      </c>
      <c r="N22" s="46" t="s">
        <v>1269</v>
      </c>
      <c r="O22" s="46" t="s">
        <v>1269</v>
      </c>
      <c r="P22" s="46"/>
    </row>
    <row r="23" spans="1:16" x14ac:dyDescent="0.25">
      <c r="A23" t="s">
        <v>1067</v>
      </c>
      <c r="B23" t="s">
        <v>81</v>
      </c>
      <c r="C23" s="46" t="s">
        <v>1269</v>
      </c>
      <c r="D23" s="46"/>
      <c r="E23" s="46" t="s">
        <v>1269</v>
      </c>
      <c r="F23" s="46"/>
      <c r="G23" s="46"/>
      <c r="H23" s="46" t="s">
        <v>1269</v>
      </c>
      <c r="I23" s="46"/>
      <c r="J23" s="46" t="s">
        <v>1269</v>
      </c>
      <c r="K23" s="46"/>
      <c r="L23" s="46" t="s">
        <v>1269</v>
      </c>
      <c r="M23" s="46" t="s">
        <v>1269</v>
      </c>
      <c r="N23" s="46" t="s">
        <v>1269</v>
      </c>
      <c r="O23" s="46" t="s">
        <v>1269</v>
      </c>
      <c r="P23" s="46"/>
    </row>
    <row r="24" spans="1:16" x14ac:dyDescent="0.25">
      <c r="A24" t="s">
        <v>1068</v>
      </c>
      <c r="B24" t="s">
        <v>83</v>
      </c>
      <c r="C24" s="46" t="s">
        <v>1269</v>
      </c>
      <c r="D24" s="46"/>
      <c r="E24" s="46" t="s">
        <v>1269</v>
      </c>
      <c r="F24" s="46"/>
      <c r="G24" s="46"/>
      <c r="H24" s="46" t="s">
        <v>1269</v>
      </c>
      <c r="I24" s="46"/>
      <c r="J24" s="46" t="s">
        <v>1269</v>
      </c>
      <c r="K24" s="46"/>
      <c r="L24" s="46" t="s">
        <v>1269</v>
      </c>
      <c r="M24" s="46" t="s">
        <v>1269</v>
      </c>
      <c r="N24" s="46" t="s">
        <v>1269</v>
      </c>
      <c r="O24" s="46" t="s">
        <v>1269</v>
      </c>
      <c r="P24" s="46"/>
    </row>
    <row r="25" spans="1:16" x14ac:dyDescent="0.25">
      <c r="A25" t="s">
        <v>1069</v>
      </c>
      <c r="B25" t="s">
        <v>85</v>
      </c>
      <c r="C25" s="46" t="s">
        <v>1269</v>
      </c>
      <c r="D25" s="46"/>
      <c r="E25" s="46" t="s">
        <v>1269</v>
      </c>
      <c r="F25" s="46"/>
      <c r="G25" s="46"/>
      <c r="H25" s="46" t="s">
        <v>1269</v>
      </c>
      <c r="I25" s="46"/>
      <c r="J25" s="46" t="s">
        <v>1269</v>
      </c>
      <c r="K25" s="46"/>
      <c r="L25" s="46" t="s">
        <v>1269</v>
      </c>
      <c r="M25" s="46" t="s">
        <v>1269</v>
      </c>
      <c r="N25" s="46" t="s">
        <v>1269</v>
      </c>
      <c r="O25" s="46" t="s">
        <v>1269</v>
      </c>
      <c r="P25" s="46"/>
    </row>
    <row r="26" spans="1:16" x14ac:dyDescent="0.25">
      <c r="A26" t="s">
        <v>1070</v>
      </c>
      <c r="B26" t="s">
        <v>87</v>
      </c>
      <c r="C26" s="46" t="s">
        <v>1269</v>
      </c>
      <c r="D26" s="46"/>
      <c r="E26" s="46" t="s">
        <v>1269</v>
      </c>
      <c r="F26" s="46"/>
      <c r="G26" s="46"/>
      <c r="H26" s="46" t="s">
        <v>1269</v>
      </c>
      <c r="I26" s="46"/>
      <c r="J26" s="46" t="s">
        <v>1269</v>
      </c>
      <c r="K26" s="46"/>
      <c r="L26" s="46" t="s">
        <v>1269</v>
      </c>
      <c r="M26" s="46" t="s">
        <v>1269</v>
      </c>
      <c r="N26" s="46" t="s">
        <v>1269</v>
      </c>
      <c r="O26" s="46" t="s">
        <v>1269</v>
      </c>
      <c r="P26" s="46"/>
    </row>
    <row r="27" spans="1:16" x14ac:dyDescent="0.25">
      <c r="A27" t="s">
        <v>1071</v>
      </c>
      <c r="B27" t="s">
        <v>89</v>
      </c>
      <c r="C27" s="46" t="s">
        <v>1269</v>
      </c>
      <c r="D27" s="46"/>
      <c r="E27" s="46" t="s">
        <v>1269</v>
      </c>
      <c r="F27" s="46"/>
      <c r="G27" s="46"/>
      <c r="H27" s="46" t="s">
        <v>1269</v>
      </c>
      <c r="I27" s="46"/>
      <c r="J27" s="46" t="s">
        <v>1269</v>
      </c>
      <c r="K27" s="46"/>
      <c r="L27" s="46" t="s">
        <v>1269</v>
      </c>
      <c r="M27" s="46" t="s">
        <v>1269</v>
      </c>
      <c r="N27" s="46" t="s">
        <v>1269</v>
      </c>
      <c r="O27" s="46" t="s">
        <v>1269</v>
      </c>
      <c r="P27" s="46"/>
    </row>
    <row r="28" spans="1:16" x14ac:dyDescent="0.25">
      <c r="A28" t="s">
        <v>1072</v>
      </c>
      <c r="B28" t="s">
        <v>91</v>
      </c>
      <c r="C28" s="46" t="s">
        <v>1269</v>
      </c>
      <c r="D28" s="46"/>
      <c r="E28" s="46" t="s">
        <v>1269</v>
      </c>
      <c r="F28" s="46"/>
      <c r="G28" s="46"/>
      <c r="H28" s="46" t="s">
        <v>1269</v>
      </c>
      <c r="I28" s="46"/>
      <c r="J28" s="46" t="s">
        <v>1269</v>
      </c>
      <c r="K28" s="46"/>
      <c r="L28" s="46" t="s">
        <v>1269</v>
      </c>
      <c r="M28" s="46" t="s">
        <v>1269</v>
      </c>
      <c r="N28" s="46" t="s">
        <v>1269</v>
      </c>
      <c r="O28" s="46" t="s">
        <v>1269</v>
      </c>
      <c r="P28" s="46"/>
    </row>
    <row r="29" spans="1:16" x14ac:dyDescent="0.25">
      <c r="A29" t="s">
        <v>1073</v>
      </c>
      <c r="B29" t="s">
        <v>93</v>
      </c>
      <c r="C29" s="46" t="s">
        <v>1269</v>
      </c>
      <c r="D29" s="46"/>
      <c r="E29" s="46" t="s">
        <v>1269</v>
      </c>
      <c r="F29" s="46"/>
      <c r="G29" s="46"/>
      <c r="H29" s="46" t="s">
        <v>1269</v>
      </c>
      <c r="I29" s="46"/>
      <c r="J29" s="46" t="s">
        <v>1269</v>
      </c>
      <c r="K29" s="46"/>
      <c r="L29" s="46" t="s">
        <v>1269</v>
      </c>
      <c r="M29" s="46" t="s">
        <v>1269</v>
      </c>
      <c r="N29" s="46" t="s">
        <v>1269</v>
      </c>
      <c r="O29" s="46" t="s">
        <v>1269</v>
      </c>
      <c r="P29" s="46"/>
    </row>
    <row r="30" spans="1:16" x14ac:dyDescent="0.25">
      <c r="A30" t="s">
        <v>1074</v>
      </c>
      <c r="B30" t="s">
        <v>95</v>
      </c>
      <c r="C30" s="46" t="s">
        <v>1269</v>
      </c>
      <c r="D30" s="46"/>
      <c r="E30" s="46" t="s">
        <v>1269</v>
      </c>
      <c r="F30" s="46"/>
      <c r="G30" s="46"/>
      <c r="H30" s="46" t="s">
        <v>1269</v>
      </c>
      <c r="I30" s="46"/>
      <c r="J30" s="46" t="s">
        <v>1269</v>
      </c>
      <c r="K30" s="46"/>
      <c r="L30" s="46" t="s">
        <v>1269</v>
      </c>
      <c r="M30" s="46" t="s">
        <v>1269</v>
      </c>
      <c r="N30" s="46" t="s">
        <v>1269</v>
      </c>
      <c r="O30" s="46" t="s">
        <v>1269</v>
      </c>
      <c r="P30" s="46"/>
    </row>
    <row r="31" spans="1:16" x14ac:dyDescent="0.25">
      <c r="A31" t="s">
        <v>1075</v>
      </c>
      <c r="B31" t="s">
        <v>97</v>
      </c>
      <c r="C31" s="46" t="s">
        <v>1269</v>
      </c>
      <c r="D31" s="46"/>
      <c r="E31" s="46" t="s">
        <v>1269</v>
      </c>
      <c r="F31" s="46"/>
      <c r="G31" s="46"/>
      <c r="H31" s="46" t="s">
        <v>1269</v>
      </c>
      <c r="I31" s="46"/>
      <c r="J31" s="46" t="s">
        <v>1269</v>
      </c>
      <c r="K31" s="46"/>
      <c r="L31" s="46" t="s">
        <v>1269</v>
      </c>
      <c r="M31" s="46" t="s">
        <v>1269</v>
      </c>
      <c r="N31" s="46" t="s">
        <v>1269</v>
      </c>
      <c r="O31" s="46" t="s">
        <v>1269</v>
      </c>
      <c r="P31" s="46"/>
    </row>
    <row r="32" spans="1:16" x14ac:dyDescent="0.25">
      <c r="A32" t="s">
        <v>1076</v>
      </c>
      <c r="B32" t="s">
        <v>99</v>
      </c>
      <c r="C32" s="46" t="s">
        <v>1269</v>
      </c>
      <c r="D32" s="46"/>
      <c r="E32" s="46" t="s">
        <v>1269</v>
      </c>
      <c r="F32" s="46"/>
      <c r="G32" s="46"/>
      <c r="H32" s="46" t="s">
        <v>1269</v>
      </c>
      <c r="I32" s="46"/>
      <c r="J32" s="46" t="s">
        <v>1269</v>
      </c>
      <c r="K32" s="46"/>
      <c r="L32" s="46" t="s">
        <v>1269</v>
      </c>
      <c r="M32" s="46" t="s">
        <v>1269</v>
      </c>
      <c r="N32" s="46" t="s">
        <v>1269</v>
      </c>
      <c r="O32" s="46" t="s">
        <v>1269</v>
      </c>
      <c r="P32" s="46"/>
    </row>
    <row r="33" spans="1:16" x14ac:dyDescent="0.25">
      <c r="A33" t="s">
        <v>1077</v>
      </c>
      <c r="B33" t="s">
        <v>101</v>
      </c>
      <c r="C33" s="46" t="s">
        <v>1269</v>
      </c>
      <c r="D33" s="46"/>
      <c r="E33" s="46" t="s">
        <v>1269</v>
      </c>
      <c r="F33" s="46"/>
      <c r="G33" s="46"/>
      <c r="H33" s="46" t="s">
        <v>1269</v>
      </c>
      <c r="I33" s="46"/>
      <c r="J33" s="46" t="s">
        <v>1269</v>
      </c>
      <c r="K33" s="46"/>
      <c r="L33" s="46" t="s">
        <v>1269</v>
      </c>
      <c r="M33" s="46" t="s">
        <v>1269</v>
      </c>
      <c r="N33" s="46" t="s">
        <v>1269</v>
      </c>
      <c r="O33" s="46" t="s">
        <v>1269</v>
      </c>
      <c r="P33" s="46"/>
    </row>
    <row r="34" spans="1:16" x14ac:dyDescent="0.25">
      <c r="A34" t="s">
        <v>1078</v>
      </c>
      <c r="B34" t="s">
        <v>103</v>
      </c>
      <c r="C34" s="46" t="s">
        <v>1269</v>
      </c>
      <c r="D34" s="46"/>
      <c r="E34" s="46" t="s">
        <v>1269</v>
      </c>
      <c r="F34" s="46"/>
      <c r="G34" s="46"/>
      <c r="H34" s="46" t="s">
        <v>1269</v>
      </c>
      <c r="I34" s="46"/>
      <c r="J34" s="46" t="s">
        <v>1269</v>
      </c>
      <c r="K34" s="46"/>
      <c r="L34" s="46" t="s">
        <v>1269</v>
      </c>
      <c r="M34" s="46" t="s">
        <v>1269</v>
      </c>
      <c r="N34" s="46" t="s">
        <v>1269</v>
      </c>
      <c r="O34" s="46" t="s">
        <v>1269</v>
      </c>
      <c r="P34" s="46"/>
    </row>
    <row r="35" spans="1:16" x14ac:dyDescent="0.25">
      <c r="A35" t="s">
        <v>1079</v>
      </c>
      <c r="B35" t="s">
        <v>105</v>
      </c>
      <c r="C35" s="46" t="s">
        <v>1269</v>
      </c>
      <c r="D35" s="46"/>
      <c r="E35" s="46" t="s">
        <v>1269</v>
      </c>
      <c r="F35" s="46"/>
      <c r="G35" s="46"/>
      <c r="H35" s="46" t="s">
        <v>1269</v>
      </c>
      <c r="I35" s="46"/>
      <c r="J35" s="46" t="s">
        <v>1269</v>
      </c>
      <c r="K35" s="46"/>
      <c r="L35" s="46" t="s">
        <v>1269</v>
      </c>
      <c r="M35" s="46" t="s">
        <v>1269</v>
      </c>
      <c r="N35" s="46" t="s">
        <v>1269</v>
      </c>
      <c r="O35" s="46" t="s">
        <v>1269</v>
      </c>
      <c r="P35" s="46"/>
    </row>
    <row r="36" spans="1:16" x14ac:dyDescent="0.25">
      <c r="A36" t="s">
        <v>1080</v>
      </c>
      <c r="B36" t="s">
        <v>107</v>
      </c>
      <c r="C36" s="46" t="s">
        <v>1269</v>
      </c>
      <c r="D36" s="46"/>
      <c r="E36" s="46" t="s">
        <v>1269</v>
      </c>
      <c r="F36" s="46"/>
      <c r="G36" s="46"/>
      <c r="H36" s="46" t="s">
        <v>1269</v>
      </c>
      <c r="I36" s="46"/>
      <c r="J36" s="46" t="s">
        <v>1269</v>
      </c>
      <c r="K36" s="46"/>
      <c r="L36" s="46" t="s">
        <v>1269</v>
      </c>
      <c r="M36" s="46" t="s">
        <v>1269</v>
      </c>
      <c r="N36" s="46" t="s">
        <v>1269</v>
      </c>
      <c r="O36" s="46" t="s">
        <v>1269</v>
      </c>
      <c r="P36" s="46"/>
    </row>
    <row r="37" spans="1:16" x14ac:dyDescent="0.25">
      <c r="A37" t="s">
        <v>1081</v>
      </c>
      <c r="B37" t="s">
        <v>109</v>
      </c>
      <c r="C37" s="46" t="s">
        <v>1269</v>
      </c>
      <c r="D37" s="46"/>
      <c r="E37" s="46" t="s">
        <v>1269</v>
      </c>
      <c r="F37" s="46"/>
      <c r="G37" s="46"/>
      <c r="H37" s="46" t="s">
        <v>1269</v>
      </c>
      <c r="I37" s="46"/>
      <c r="J37" s="46" t="s">
        <v>1269</v>
      </c>
      <c r="K37" s="46"/>
      <c r="L37" s="46" t="s">
        <v>1269</v>
      </c>
      <c r="M37" s="46" t="s">
        <v>1269</v>
      </c>
      <c r="N37" s="46" t="s">
        <v>1269</v>
      </c>
      <c r="O37" s="46" t="s">
        <v>1269</v>
      </c>
      <c r="P37" s="46"/>
    </row>
    <row r="38" spans="1:16" x14ac:dyDescent="0.25">
      <c r="A38" t="s">
        <v>1082</v>
      </c>
      <c r="B38" t="s">
        <v>111</v>
      </c>
      <c r="C38" s="46" t="s">
        <v>1269</v>
      </c>
      <c r="D38" s="46" t="s">
        <v>1269</v>
      </c>
      <c r="E38" s="46"/>
      <c r="F38" s="46"/>
      <c r="G38" s="46"/>
      <c r="H38" s="46" t="s">
        <v>1269</v>
      </c>
      <c r="I38" s="46"/>
      <c r="J38" s="46"/>
      <c r="K38" s="46"/>
      <c r="L38" s="46" t="s">
        <v>1269</v>
      </c>
      <c r="M38" s="46"/>
      <c r="N38" s="46" t="s">
        <v>1269</v>
      </c>
      <c r="O38" s="46"/>
      <c r="P38" s="46"/>
    </row>
    <row r="39" spans="1:16" x14ac:dyDescent="0.25">
      <c r="A39" t="s">
        <v>1083</v>
      </c>
      <c r="B39" t="s">
        <v>113</v>
      </c>
      <c r="C39" s="46" t="s">
        <v>1269</v>
      </c>
      <c r="D39" s="46"/>
      <c r="E39" s="46"/>
      <c r="F39" s="46"/>
      <c r="G39" s="46"/>
      <c r="H39" s="46"/>
      <c r="I39" s="46"/>
      <c r="J39" s="46"/>
      <c r="K39" s="46"/>
      <c r="L39" s="46" t="s">
        <v>1269</v>
      </c>
      <c r="M39" s="46"/>
      <c r="N39" s="46"/>
      <c r="O39" s="46"/>
      <c r="P39" s="46"/>
    </row>
    <row r="40" spans="1:16" x14ac:dyDescent="0.25">
      <c r="A40" t="s">
        <v>1084</v>
      </c>
      <c r="B40" t="s">
        <v>115</v>
      </c>
      <c r="C40" s="46" t="s">
        <v>1269</v>
      </c>
      <c r="D40" s="46" t="s">
        <v>1269</v>
      </c>
      <c r="E40" s="46" t="s">
        <v>1269</v>
      </c>
      <c r="F40" s="46"/>
      <c r="G40" s="46"/>
      <c r="H40" s="46" t="s">
        <v>1269</v>
      </c>
      <c r="I40" s="46"/>
      <c r="J40" s="46" t="s">
        <v>1269</v>
      </c>
      <c r="K40" s="46"/>
      <c r="L40" s="46" t="s">
        <v>1269</v>
      </c>
      <c r="M40" s="46" t="s">
        <v>1269</v>
      </c>
      <c r="N40" s="46" t="s">
        <v>1269</v>
      </c>
      <c r="O40" s="46" t="s">
        <v>1269</v>
      </c>
      <c r="P40" s="46" t="s">
        <v>1269</v>
      </c>
    </row>
    <row r="41" spans="1:16" x14ac:dyDescent="0.25">
      <c r="A41" t="s">
        <v>1085</v>
      </c>
      <c r="B41" t="s">
        <v>117</v>
      </c>
      <c r="C41" s="46" t="s">
        <v>1269</v>
      </c>
      <c r="D41" s="46" t="s">
        <v>1269</v>
      </c>
      <c r="E41" s="46" t="s">
        <v>1269</v>
      </c>
      <c r="F41" s="46"/>
      <c r="G41" s="46"/>
      <c r="H41" s="46" t="s">
        <v>1269</v>
      </c>
      <c r="I41" s="46"/>
      <c r="J41" s="46" t="s">
        <v>1269</v>
      </c>
      <c r="K41" s="46"/>
      <c r="L41" s="46" t="s">
        <v>1269</v>
      </c>
      <c r="M41" s="46" t="s">
        <v>1269</v>
      </c>
      <c r="N41" s="46" t="s">
        <v>1269</v>
      </c>
      <c r="O41" s="46" t="s">
        <v>1269</v>
      </c>
      <c r="P41" s="46" t="s">
        <v>1269</v>
      </c>
    </row>
    <row r="42" spans="1:16" x14ac:dyDescent="0.25">
      <c r="A42" t="s">
        <v>1086</v>
      </c>
      <c r="B42" t="s">
        <v>119</v>
      </c>
      <c r="C42" s="46" t="s">
        <v>1269</v>
      </c>
      <c r="D42" s="46" t="s">
        <v>1269</v>
      </c>
      <c r="E42" s="46" t="s">
        <v>1269</v>
      </c>
      <c r="F42" s="46"/>
      <c r="G42" s="46"/>
      <c r="H42" s="46" t="s">
        <v>1269</v>
      </c>
      <c r="I42" s="46"/>
      <c r="J42" s="46" t="s">
        <v>1269</v>
      </c>
      <c r="K42" s="46"/>
      <c r="L42" s="46" t="s">
        <v>1269</v>
      </c>
      <c r="M42" s="46" t="s">
        <v>1269</v>
      </c>
      <c r="N42" s="46" t="s">
        <v>1269</v>
      </c>
      <c r="O42" s="46" t="s">
        <v>1269</v>
      </c>
      <c r="P42" s="46" t="s">
        <v>1269</v>
      </c>
    </row>
    <row r="43" spans="1:16" x14ac:dyDescent="0.25">
      <c r="A43" t="s">
        <v>1087</v>
      </c>
      <c r="B43" t="s">
        <v>121</v>
      </c>
      <c r="C43" s="46" t="s">
        <v>1269</v>
      </c>
      <c r="D43" s="46" t="s">
        <v>1269</v>
      </c>
      <c r="E43" s="46" t="s">
        <v>1269</v>
      </c>
      <c r="F43" s="46"/>
      <c r="G43" s="46"/>
      <c r="H43" s="46" t="s">
        <v>1269</v>
      </c>
      <c r="I43" s="46" t="s">
        <v>1269</v>
      </c>
      <c r="J43" s="46" t="s">
        <v>1269</v>
      </c>
      <c r="K43" s="46"/>
      <c r="L43" s="46" t="s">
        <v>1269</v>
      </c>
      <c r="M43" s="46" t="s">
        <v>1269</v>
      </c>
      <c r="N43" s="46" t="s">
        <v>1269</v>
      </c>
      <c r="O43" s="46" t="s">
        <v>1269</v>
      </c>
      <c r="P43" s="46"/>
    </row>
    <row r="44" spans="1:16" x14ac:dyDescent="0.25">
      <c r="A44" t="s">
        <v>1088</v>
      </c>
      <c r="B44" t="s">
        <v>123</v>
      </c>
      <c r="C44" s="46" t="s">
        <v>1269</v>
      </c>
      <c r="D44" s="46"/>
      <c r="E44" s="46" t="s">
        <v>1269</v>
      </c>
      <c r="F44" s="46"/>
      <c r="G44" s="46"/>
      <c r="H44" s="46" t="s">
        <v>1269</v>
      </c>
      <c r="I44" s="46" t="s">
        <v>1269</v>
      </c>
      <c r="J44" s="46"/>
      <c r="K44" s="46"/>
      <c r="L44" s="46" t="s">
        <v>1269</v>
      </c>
      <c r="M44" s="46"/>
      <c r="N44" s="46" t="s">
        <v>1269</v>
      </c>
      <c r="O44" s="46" t="s">
        <v>1269</v>
      </c>
      <c r="P44" s="46"/>
    </row>
    <row r="45" spans="1:16" x14ac:dyDescent="0.25">
      <c r="A45" t="s">
        <v>1089</v>
      </c>
      <c r="B45" t="s">
        <v>125</v>
      </c>
      <c r="C45" s="46" t="s">
        <v>1269</v>
      </c>
      <c r="D45" s="46" t="s">
        <v>1269</v>
      </c>
      <c r="E45" s="46" t="s">
        <v>1269</v>
      </c>
      <c r="F45" s="46"/>
      <c r="G45" s="46"/>
      <c r="H45" s="46" t="s">
        <v>1269</v>
      </c>
      <c r="I45" s="46"/>
      <c r="J45" s="46" t="s">
        <v>1269</v>
      </c>
      <c r="K45" s="46"/>
      <c r="L45" s="46" t="s">
        <v>1269</v>
      </c>
      <c r="M45" s="46" t="s">
        <v>1269</v>
      </c>
      <c r="N45" s="46" t="s">
        <v>1269</v>
      </c>
      <c r="O45" s="46" t="s">
        <v>1269</v>
      </c>
      <c r="P45" s="46" t="s">
        <v>1269</v>
      </c>
    </row>
    <row r="46" spans="1:16" x14ac:dyDescent="0.25">
      <c r="A46" t="s">
        <v>1090</v>
      </c>
      <c r="B46" t="s">
        <v>127</v>
      </c>
      <c r="C46" s="46" t="s">
        <v>1269</v>
      </c>
      <c r="D46" s="46" t="s">
        <v>1269</v>
      </c>
      <c r="E46" s="46" t="s">
        <v>1269</v>
      </c>
      <c r="F46" s="46"/>
      <c r="G46" s="46"/>
      <c r="H46" s="46" t="s">
        <v>1269</v>
      </c>
      <c r="I46" s="46"/>
      <c r="J46" s="46" t="s">
        <v>1269</v>
      </c>
      <c r="K46" s="46"/>
      <c r="L46" s="46" t="s">
        <v>1269</v>
      </c>
      <c r="M46" s="46" t="s">
        <v>1269</v>
      </c>
      <c r="N46" s="46" t="s">
        <v>1269</v>
      </c>
      <c r="O46" s="46" t="s">
        <v>1269</v>
      </c>
      <c r="P46" s="46"/>
    </row>
    <row r="47" spans="1:16" x14ac:dyDescent="0.25">
      <c r="A47" t="s">
        <v>1091</v>
      </c>
      <c r="B47" t="s">
        <v>129</v>
      </c>
      <c r="C47" s="46" t="s">
        <v>1269</v>
      </c>
      <c r="D47" s="46" t="s">
        <v>1269</v>
      </c>
      <c r="E47" s="46" t="s">
        <v>1269</v>
      </c>
      <c r="F47" s="46"/>
      <c r="G47" s="46"/>
      <c r="H47" s="46" t="s">
        <v>1269</v>
      </c>
      <c r="I47" s="46"/>
      <c r="J47" s="46" t="s">
        <v>1269</v>
      </c>
      <c r="K47" s="46"/>
      <c r="L47" s="46" t="s">
        <v>1269</v>
      </c>
      <c r="M47" s="46" t="s">
        <v>1269</v>
      </c>
      <c r="N47" s="46" t="s">
        <v>1269</v>
      </c>
      <c r="O47" s="46" t="s">
        <v>1269</v>
      </c>
      <c r="P47" s="46"/>
    </row>
    <row r="48" spans="1:16" x14ac:dyDescent="0.25">
      <c r="A48" t="s">
        <v>1092</v>
      </c>
      <c r="B48" t="s">
        <v>131</v>
      </c>
      <c r="C48" s="46" t="s">
        <v>1269</v>
      </c>
      <c r="D48" s="46" t="s">
        <v>1269</v>
      </c>
      <c r="E48" s="46" t="s">
        <v>1269</v>
      </c>
      <c r="F48" s="46"/>
      <c r="G48" s="46"/>
      <c r="H48" s="46" t="s">
        <v>1269</v>
      </c>
      <c r="I48" s="46"/>
      <c r="J48" s="46" t="s">
        <v>1269</v>
      </c>
      <c r="K48" s="46"/>
      <c r="L48" s="46" t="s">
        <v>1269</v>
      </c>
      <c r="M48" s="46" t="s">
        <v>1269</v>
      </c>
      <c r="N48" s="46" t="s">
        <v>1269</v>
      </c>
      <c r="O48" s="46" t="s">
        <v>1269</v>
      </c>
      <c r="P48" s="46"/>
    </row>
    <row r="49" spans="1:16" x14ac:dyDescent="0.25">
      <c r="A49" t="s">
        <v>1093</v>
      </c>
      <c r="B49" t="s">
        <v>133</v>
      </c>
      <c r="C49" s="46" t="s">
        <v>1269</v>
      </c>
      <c r="D49" s="46" t="s">
        <v>1269</v>
      </c>
      <c r="E49" s="46" t="s">
        <v>1269</v>
      </c>
      <c r="F49" s="46"/>
      <c r="G49" s="46"/>
      <c r="H49" s="46" t="s">
        <v>1269</v>
      </c>
      <c r="I49" s="46"/>
      <c r="J49" s="46" t="s">
        <v>1269</v>
      </c>
      <c r="K49" s="46"/>
      <c r="L49" s="46" t="s">
        <v>1269</v>
      </c>
      <c r="M49" s="46" t="s">
        <v>1269</v>
      </c>
      <c r="N49" s="46" t="s">
        <v>1269</v>
      </c>
      <c r="O49" s="46" t="s">
        <v>1269</v>
      </c>
      <c r="P49" s="46"/>
    </row>
    <row r="50" spans="1:16" x14ac:dyDescent="0.25">
      <c r="A50" t="s">
        <v>1094</v>
      </c>
      <c r="B50" t="s">
        <v>135</v>
      </c>
      <c r="C50" s="46" t="s">
        <v>1269</v>
      </c>
      <c r="D50" s="46" t="s">
        <v>1269</v>
      </c>
      <c r="E50" s="46" t="s">
        <v>1269</v>
      </c>
      <c r="F50" s="46"/>
      <c r="G50" s="46"/>
      <c r="H50" s="46" t="s">
        <v>1269</v>
      </c>
      <c r="I50" s="46"/>
      <c r="J50" s="46" t="s">
        <v>1269</v>
      </c>
      <c r="K50" s="46"/>
      <c r="L50" s="46" t="s">
        <v>1269</v>
      </c>
      <c r="M50" s="46" t="s">
        <v>1269</v>
      </c>
      <c r="N50" s="46" t="s">
        <v>1269</v>
      </c>
      <c r="O50" s="46" t="s">
        <v>1269</v>
      </c>
      <c r="P50" s="46"/>
    </row>
    <row r="51" spans="1:16" x14ac:dyDescent="0.25">
      <c r="A51" t="s">
        <v>1095</v>
      </c>
      <c r="B51" t="s">
        <v>137</v>
      </c>
      <c r="C51" s="46" t="s">
        <v>1269</v>
      </c>
      <c r="D51" s="46" t="s">
        <v>1269</v>
      </c>
      <c r="E51" s="46" t="s">
        <v>1269</v>
      </c>
      <c r="F51" s="46"/>
      <c r="G51" s="46"/>
      <c r="H51" s="46" t="s">
        <v>1269</v>
      </c>
      <c r="I51" s="46" t="s">
        <v>1269</v>
      </c>
      <c r="J51" s="46" t="s">
        <v>1269</v>
      </c>
      <c r="K51" s="46"/>
      <c r="L51" s="46" t="s">
        <v>1269</v>
      </c>
      <c r="M51" s="46" t="s">
        <v>1269</v>
      </c>
      <c r="N51" s="46" t="s">
        <v>1269</v>
      </c>
      <c r="O51" s="46" t="s">
        <v>1269</v>
      </c>
      <c r="P51" s="46"/>
    </row>
    <row r="52" spans="1:16" x14ac:dyDescent="0.25">
      <c r="A52" t="s">
        <v>1096</v>
      </c>
      <c r="B52" t="s">
        <v>139</v>
      </c>
      <c r="C52" s="46" t="s">
        <v>1269</v>
      </c>
      <c r="D52" s="46" t="s">
        <v>1269</v>
      </c>
      <c r="E52" s="46" t="s">
        <v>1269</v>
      </c>
      <c r="F52" s="46"/>
      <c r="G52" s="46"/>
      <c r="H52" s="46" t="s">
        <v>1269</v>
      </c>
      <c r="I52" s="46"/>
      <c r="J52" s="46" t="s">
        <v>1269</v>
      </c>
      <c r="K52" s="46"/>
      <c r="L52" s="46" t="s">
        <v>1269</v>
      </c>
      <c r="M52" s="46" t="s">
        <v>1269</v>
      </c>
      <c r="N52" s="46" t="s">
        <v>1269</v>
      </c>
      <c r="O52" s="46" t="s">
        <v>1269</v>
      </c>
      <c r="P52" s="46"/>
    </row>
    <row r="53" spans="1:16" x14ac:dyDescent="0.25">
      <c r="A53" t="s">
        <v>1097</v>
      </c>
      <c r="B53" t="s">
        <v>141</v>
      </c>
      <c r="C53" s="46" t="s">
        <v>1269</v>
      </c>
      <c r="D53" s="46" t="s">
        <v>1269</v>
      </c>
      <c r="E53" s="46" t="s">
        <v>1269</v>
      </c>
      <c r="F53" s="46"/>
      <c r="G53" s="46"/>
      <c r="H53" s="46" t="s">
        <v>1269</v>
      </c>
      <c r="I53" s="46"/>
      <c r="J53" s="46" t="s">
        <v>1269</v>
      </c>
      <c r="K53" s="46"/>
      <c r="L53" s="46" t="s">
        <v>1269</v>
      </c>
      <c r="M53" s="46" t="s">
        <v>1269</v>
      </c>
      <c r="N53" s="46" t="s">
        <v>1269</v>
      </c>
      <c r="O53" s="46" t="s">
        <v>1269</v>
      </c>
      <c r="P53" s="46"/>
    </row>
    <row r="54" spans="1:16" x14ac:dyDescent="0.25">
      <c r="A54" t="s">
        <v>1098</v>
      </c>
      <c r="B54" t="s">
        <v>143</v>
      </c>
      <c r="C54" s="46" t="s">
        <v>1269</v>
      </c>
      <c r="D54" s="46" t="s">
        <v>1269</v>
      </c>
      <c r="E54" s="46" t="s">
        <v>1269</v>
      </c>
      <c r="F54" s="46"/>
      <c r="G54" s="46"/>
      <c r="H54" s="46" t="s">
        <v>1269</v>
      </c>
      <c r="I54" s="46"/>
      <c r="J54" s="46" t="s">
        <v>1269</v>
      </c>
      <c r="K54" s="46"/>
      <c r="L54" s="46" t="s">
        <v>1269</v>
      </c>
      <c r="M54" s="46" t="s">
        <v>1269</v>
      </c>
      <c r="N54" s="46" t="s">
        <v>1269</v>
      </c>
      <c r="O54" s="46" t="s">
        <v>1269</v>
      </c>
      <c r="P54" s="46"/>
    </row>
    <row r="55" spans="1:16" x14ac:dyDescent="0.25">
      <c r="A55" t="s">
        <v>1099</v>
      </c>
      <c r="B55" t="s">
        <v>145</v>
      </c>
      <c r="C55" s="46" t="s">
        <v>1269</v>
      </c>
      <c r="D55" s="46" t="s">
        <v>1269</v>
      </c>
      <c r="E55" s="46" t="s">
        <v>1269</v>
      </c>
      <c r="F55" s="46"/>
      <c r="G55" s="46"/>
      <c r="H55" s="46" t="s">
        <v>1269</v>
      </c>
      <c r="I55" s="46"/>
      <c r="J55" s="46" t="s">
        <v>1269</v>
      </c>
      <c r="K55" s="46"/>
      <c r="L55" s="46" t="s">
        <v>1269</v>
      </c>
      <c r="M55" s="46" t="s">
        <v>1269</v>
      </c>
      <c r="N55" s="46" t="s">
        <v>1269</v>
      </c>
      <c r="O55" s="46" t="s">
        <v>1269</v>
      </c>
      <c r="P55" s="46"/>
    </row>
    <row r="56" spans="1:16" x14ac:dyDescent="0.25">
      <c r="A56" t="s">
        <v>1100</v>
      </c>
      <c r="B56" t="s">
        <v>147</v>
      </c>
      <c r="C56" s="46" t="s">
        <v>1269</v>
      </c>
      <c r="D56" s="46" t="s">
        <v>1269</v>
      </c>
      <c r="E56" s="46" t="s">
        <v>1269</v>
      </c>
      <c r="F56" s="46"/>
      <c r="G56" s="46"/>
      <c r="H56" s="46" t="s">
        <v>1269</v>
      </c>
      <c r="I56" s="46"/>
      <c r="J56" s="46" t="s">
        <v>1269</v>
      </c>
      <c r="K56" s="46"/>
      <c r="L56" s="46" t="s">
        <v>1269</v>
      </c>
      <c r="M56" s="46" t="s">
        <v>1269</v>
      </c>
      <c r="N56" s="46" t="s">
        <v>1269</v>
      </c>
      <c r="O56" s="46" t="s">
        <v>1269</v>
      </c>
      <c r="P56" s="46"/>
    </row>
    <row r="57" spans="1:16" x14ac:dyDescent="0.25">
      <c r="A57" t="s">
        <v>1101</v>
      </c>
      <c r="B57" t="s">
        <v>149</v>
      </c>
      <c r="C57" s="46" t="s">
        <v>1269</v>
      </c>
      <c r="D57" s="46"/>
      <c r="E57" s="46"/>
      <c r="F57" s="46"/>
      <c r="G57" s="46"/>
      <c r="H57" s="46"/>
      <c r="I57" s="46"/>
      <c r="J57" s="46"/>
      <c r="K57" s="46"/>
      <c r="L57" s="46" t="s">
        <v>1269</v>
      </c>
      <c r="M57" s="46"/>
      <c r="N57" s="46"/>
      <c r="O57" s="46"/>
      <c r="P57" s="46"/>
    </row>
    <row r="58" spans="1:16" x14ac:dyDescent="0.25">
      <c r="A58" t="s">
        <v>1102</v>
      </c>
      <c r="B58" t="s">
        <v>151</v>
      </c>
      <c r="C58" s="46" t="s">
        <v>1269</v>
      </c>
      <c r="D58" s="46" t="s">
        <v>1269</v>
      </c>
      <c r="E58" s="46" t="s">
        <v>1269</v>
      </c>
      <c r="F58" s="46"/>
      <c r="G58" s="46"/>
      <c r="H58" s="46" t="s">
        <v>1269</v>
      </c>
      <c r="I58" s="46"/>
      <c r="J58" s="46"/>
      <c r="K58" s="46"/>
      <c r="L58" s="46" t="s">
        <v>1269</v>
      </c>
      <c r="M58" s="46"/>
      <c r="N58" s="46"/>
      <c r="O58" s="46"/>
      <c r="P58" s="46"/>
    </row>
    <row r="59" spans="1:16" x14ac:dyDescent="0.25">
      <c r="A59" t="s">
        <v>1103</v>
      </c>
      <c r="B59" t="s">
        <v>153</v>
      </c>
      <c r="C59" s="46" t="s">
        <v>1269</v>
      </c>
      <c r="D59" s="46"/>
      <c r="E59" s="46"/>
      <c r="F59" s="46"/>
      <c r="G59" s="46"/>
      <c r="H59" s="46"/>
      <c r="I59" s="46"/>
      <c r="J59" s="46"/>
      <c r="K59" s="46"/>
      <c r="L59" s="46" t="s">
        <v>1269</v>
      </c>
      <c r="M59" s="46"/>
      <c r="N59" s="46"/>
      <c r="O59" s="46"/>
      <c r="P59" s="46"/>
    </row>
    <row r="60" spans="1:16" x14ac:dyDescent="0.25">
      <c r="A60" t="s">
        <v>1104</v>
      </c>
      <c r="B60" t="s">
        <v>155</v>
      </c>
      <c r="C60" s="46" t="s">
        <v>1269</v>
      </c>
      <c r="D60" s="46"/>
      <c r="E60" s="46"/>
      <c r="F60" s="46"/>
      <c r="G60" s="46"/>
      <c r="H60" s="46"/>
      <c r="I60" s="46"/>
      <c r="J60" s="46"/>
      <c r="K60" s="46"/>
      <c r="L60" s="46" t="s">
        <v>1269</v>
      </c>
      <c r="M60" s="46"/>
      <c r="N60" s="46"/>
      <c r="O60" s="46"/>
      <c r="P60" s="46"/>
    </row>
    <row r="61" spans="1:16" x14ac:dyDescent="0.25">
      <c r="A61" t="s">
        <v>1105</v>
      </c>
      <c r="B61" t="s">
        <v>157</v>
      </c>
      <c r="C61" s="46" t="s">
        <v>1269</v>
      </c>
      <c r="D61" s="46"/>
      <c r="E61" s="46"/>
      <c r="F61" s="46"/>
      <c r="G61" s="46"/>
      <c r="H61" s="46"/>
      <c r="I61" s="46"/>
      <c r="J61" s="46"/>
      <c r="K61" s="46"/>
      <c r="L61" s="46" t="s">
        <v>1269</v>
      </c>
      <c r="M61" s="46"/>
      <c r="N61" s="46"/>
      <c r="O61" s="46"/>
      <c r="P61" s="46"/>
    </row>
    <row r="62" spans="1:16" x14ac:dyDescent="0.25">
      <c r="A62" t="s">
        <v>1106</v>
      </c>
      <c r="B62" t="s">
        <v>159</v>
      </c>
      <c r="C62" s="46" t="s">
        <v>1269</v>
      </c>
      <c r="D62" s="46" t="s">
        <v>1269</v>
      </c>
      <c r="E62" s="46" t="s">
        <v>1269</v>
      </c>
      <c r="F62" s="46"/>
      <c r="G62" s="46"/>
      <c r="H62" s="46" t="s">
        <v>1269</v>
      </c>
      <c r="I62" s="46"/>
      <c r="J62" s="46"/>
      <c r="K62" s="46"/>
      <c r="L62" s="46" t="s">
        <v>1269</v>
      </c>
      <c r="M62" s="46"/>
      <c r="N62" s="46" t="s">
        <v>1269</v>
      </c>
      <c r="O62" s="46" t="s">
        <v>1269</v>
      </c>
      <c r="P62" s="46"/>
    </row>
    <row r="63" spans="1:16" x14ac:dyDescent="0.25">
      <c r="A63" t="s">
        <v>1107</v>
      </c>
      <c r="B63" t="s">
        <v>161</v>
      </c>
      <c r="C63" s="46" t="s">
        <v>1269</v>
      </c>
      <c r="D63" s="46" t="s">
        <v>1269</v>
      </c>
      <c r="E63" s="46"/>
      <c r="F63" s="46"/>
      <c r="G63" s="46"/>
      <c r="H63" s="46" t="s">
        <v>1269</v>
      </c>
      <c r="I63" s="46"/>
      <c r="J63" s="46"/>
      <c r="K63" s="46"/>
      <c r="L63" s="46" t="s">
        <v>1269</v>
      </c>
      <c r="M63" s="46"/>
      <c r="N63" s="46"/>
      <c r="O63" s="46"/>
      <c r="P63" s="46"/>
    </row>
    <row r="64" spans="1:16" x14ac:dyDescent="0.25">
      <c r="A64" t="s">
        <v>1108</v>
      </c>
      <c r="B64" t="s">
        <v>163</v>
      </c>
      <c r="C64" s="46" t="s">
        <v>1269</v>
      </c>
      <c r="D64" s="46"/>
      <c r="E64" s="46"/>
      <c r="F64" s="46"/>
      <c r="G64" s="46"/>
      <c r="H64" s="46" t="s">
        <v>1269</v>
      </c>
      <c r="I64" s="46" t="s">
        <v>1269</v>
      </c>
      <c r="J64" s="46"/>
      <c r="K64" s="46"/>
      <c r="L64" s="46" t="s">
        <v>1269</v>
      </c>
      <c r="M64" s="46"/>
      <c r="N64" s="46" t="s">
        <v>1269</v>
      </c>
      <c r="O64" s="46" t="s">
        <v>1269</v>
      </c>
      <c r="P64" s="46"/>
    </row>
    <row r="65" spans="1:16" x14ac:dyDescent="0.25">
      <c r="A65" t="s">
        <v>1109</v>
      </c>
      <c r="B65" t="s">
        <v>165</v>
      </c>
      <c r="C65" s="46" t="s">
        <v>1269</v>
      </c>
      <c r="D65" s="46"/>
      <c r="E65" s="46"/>
      <c r="F65" s="46"/>
      <c r="G65" s="46"/>
      <c r="H65" s="46" t="s">
        <v>1269</v>
      </c>
      <c r="I65" s="46" t="s">
        <v>1269</v>
      </c>
      <c r="J65" s="46"/>
      <c r="K65" s="46"/>
      <c r="L65" s="46" t="s">
        <v>1269</v>
      </c>
      <c r="M65" s="46"/>
      <c r="N65" s="46" t="s">
        <v>1269</v>
      </c>
      <c r="O65" s="46" t="s">
        <v>1269</v>
      </c>
      <c r="P65" s="46"/>
    </row>
    <row r="66" spans="1:16" x14ac:dyDescent="0.25">
      <c r="A66" t="s">
        <v>1110</v>
      </c>
      <c r="B66" t="s">
        <v>167</v>
      </c>
      <c r="C66" s="46" t="s">
        <v>1269</v>
      </c>
      <c r="D66" s="46"/>
      <c r="E66" s="46"/>
      <c r="F66" s="46"/>
      <c r="G66" s="46"/>
      <c r="H66" s="46" t="s">
        <v>1269</v>
      </c>
      <c r="I66" s="46" t="s">
        <v>1269</v>
      </c>
      <c r="J66" s="46"/>
      <c r="K66" s="46"/>
      <c r="L66" s="46" t="s">
        <v>1269</v>
      </c>
      <c r="M66" s="46"/>
      <c r="N66" s="46" t="s">
        <v>1269</v>
      </c>
      <c r="O66" s="46" t="s">
        <v>1269</v>
      </c>
      <c r="P66" s="46"/>
    </row>
    <row r="67" spans="1:16" x14ac:dyDescent="0.25">
      <c r="A67" t="s">
        <v>1111</v>
      </c>
      <c r="B67" t="s">
        <v>169</v>
      </c>
      <c r="C67" s="46" t="s">
        <v>1269</v>
      </c>
      <c r="D67" s="46"/>
      <c r="E67" s="46"/>
      <c r="F67" s="46"/>
      <c r="G67" s="46"/>
      <c r="H67" s="46" t="s">
        <v>1269</v>
      </c>
      <c r="I67" s="46"/>
      <c r="J67" s="46"/>
      <c r="K67" s="46"/>
      <c r="L67" s="46" t="s">
        <v>1269</v>
      </c>
      <c r="M67" s="46"/>
      <c r="N67" s="46"/>
      <c r="O67" s="46"/>
      <c r="P67" s="46"/>
    </row>
    <row r="68" spans="1:16" x14ac:dyDescent="0.25">
      <c r="A68" t="s">
        <v>1112</v>
      </c>
      <c r="B68" t="s">
        <v>171</v>
      </c>
      <c r="C68" s="46" t="s">
        <v>1269</v>
      </c>
      <c r="D68" s="46" t="s">
        <v>1269</v>
      </c>
      <c r="E68" s="46"/>
      <c r="F68" s="46"/>
      <c r="G68" s="46"/>
      <c r="H68" s="46" t="s">
        <v>1269</v>
      </c>
      <c r="I68" s="46"/>
      <c r="J68" s="46"/>
      <c r="K68" s="46"/>
      <c r="L68" s="46" t="s">
        <v>1269</v>
      </c>
      <c r="M68" s="46"/>
      <c r="N68" s="46"/>
      <c r="O68" s="46"/>
      <c r="P68" s="46"/>
    </row>
    <row r="69" spans="1:16" x14ac:dyDescent="0.25">
      <c r="A69" t="s">
        <v>1113</v>
      </c>
      <c r="B69" t="s">
        <v>173</v>
      </c>
      <c r="C69" s="46" t="s">
        <v>1269</v>
      </c>
      <c r="D69" s="46" t="s">
        <v>1269</v>
      </c>
      <c r="E69" s="46"/>
      <c r="F69" s="46"/>
      <c r="G69" s="46"/>
      <c r="H69" s="46" t="s">
        <v>1269</v>
      </c>
      <c r="I69" s="46"/>
      <c r="J69" s="46"/>
      <c r="K69" s="46"/>
      <c r="L69" s="46" t="s">
        <v>1269</v>
      </c>
      <c r="M69" s="46"/>
      <c r="N69" s="46"/>
      <c r="O69" s="46"/>
      <c r="P69" s="46"/>
    </row>
    <row r="70" spans="1:16" x14ac:dyDescent="0.25">
      <c r="A70" t="s">
        <v>1114</v>
      </c>
      <c r="B70" t="s">
        <v>175</v>
      </c>
      <c r="C70" s="46" t="s">
        <v>1269</v>
      </c>
      <c r="D70" s="46"/>
      <c r="E70" s="46"/>
      <c r="F70" s="46"/>
      <c r="G70" s="46"/>
      <c r="H70" s="46"/>
      <c r="I70" s="46"/>
      <c r="J70" s="46"/>
      <c r="K70" s="46"/>
      <c r="L70" s="46" t="s">
        <v>1269</v>
      </c>
      <c r="M70" s="46"/>
      <c r="N70" s="46"/>
      <c r="O70" s="46"/>
      <c r="P70" s="46"/>
    </row>
    <row r="71" spans="1:16" x14ac:dyDescent="0.25">
      <c r="A71" t="s">
        <v>1115</v>
      </c>
      <c r="B71" t="s">
        <v>177</v>
      </c>
      <c r="C71" s="46" t="s">
        <v>1269</v>
      </c>
      <c r="D71" s="46"/>
      <c r="E71" s="46"/>
      <c r="F71" s="46"/>
      <c r="G71" s="46"/>
      <c r="H71" s="46"/>
      <c r="I71" s="46"/>
      <c r="J71" s="46"/>
      <c r="K71" s="46"/>
      <c r="L71" s="46" t="s">
        <v>1269</v>
      </c>
      <c r="M71" s="46"/>
      <c r="N71" s="46"/>
      <c r="O71" s="46"/>
      <c r="P71" s="46"/>
    </row>
    <row r="72" spans="1:16" x14ac:dyDescent="0.25">
      <c r="A72" t="s">
        <v>1116</v>
      </c>
      <c r="B72" t="s">
        <v>179</v>
      </c>
      <c r="C72" s="46" t="s">
        <v>1269</v>
      </c>
      <c r="D72" s="46"/>
      <c r="E72" s="46"/>
      <c r="F72" s="46"/>
      <c r="G72" s="46"/>
      <c r="H72" s="46"/>
      <c r="I72" s="46"/>
      <c r="J72" s="46"/>
      <c r="K72" s="46"/>
      <c r="L72" s="46" t="s">
        <v>1269</v>
      </c>
      <c r="M72" s="46"/>
      <c r="N72" s="46"/>
      <c r="O72" s="46"/>
      <c r="P72" s="46"/>
    </row>
    <row r="73" spans="1:16" x14ac:dyDescent="0.25">
      <c r="A73" t="s">
        <v>1117</v>
      </c>
      <c r="B73" t="s">
        <v>181</v>
      </c>
      <c r="C73" s="46" t="s">
        <v>1269</v>
      </c>
      <c r="D73" s="46"/>
      <c r="E73" s="46"/>
      <c r="F73" s="46"/>
      <c r="G73" s="46"/>
      <c r="H73" s="46"/>
      <c r="I73" s="46"/>
      <c r="J73" s="46"/>
      <c r="K73" s="46"/>
      <c r="L73" s="46" t="s">
        <v>1269</v>
      </c>
      <c r="M73" s="46"/>
      <c r="N73" s="46"/>
      <c r="O73" s="46"/>
      <c r="P73" s="46"/>
    </row>
    <row r="74" spans="1:16" x14ac:dyDescent="0.25">
      <c r="A74" t="s">
        <v>1118</v>
      </c>
      <c r="B74" t="s">
        <v>183</v>
      </c>
      <c r="C74" s="46" t="s">
        <v>1269</v>
      </c>
      <c r="D74" s="46"/>
      <c r="E74" s="46"/>
      <c r="F74" s="46"/>
      <c r="G74" s="46"/>
      <c r="H74" s="46"/>
      <c r="I74" s="46"/>
      <c r="J74" s="46"/>
      <c r="K74" s="46"/>
      <c r="L74" s="46" t="s">
        <v>1269</v>
      </c>
      <c r="M74" s="46"/>
      <c r="N74" s="46"/>
      <c r="O74" s="46"/>
      <c r="P74" s="46"/>
    </row>
    <row r="75" spans="1:16" x14ac:dyDescent="0.25">
      <c r="A75" t="s">
        <v>1119</v>
      </c>
      <c r="B75" t="s">
        <v>185</v>
      </c>
      <c r="C75" s="46" t="s">
        <v>1269</v>
      </c>
      <c r="D75" s="46"/>
      <c r="E75" s="46"/>
      <c r="F75" s="46"/>
      <c r="G75" s="46"/>
      <c r="H75" s="46"/>
      <c r="I75" s="46"/>
      <c r="J75" s="46"/>
      <c r="K75" s="46"/>
      <c r="L75" s="46" t="s">
        <v>1269</v>
      </c>
      <c r="M75" s="46"/>
      <c r="N75" s="46"/>
      <c r="O75" s="46"/>
      <c r="P75" s="46"/>
    </row>
    <row r="76" spans="1:16" x14ac:dyDescent="0.25">
      <c r="A76" t="s">
        <v>1120</v>
      </c>
      <c r="B76" t="s">
        <v>187</v>
      </c>
      <c r="C76" s="46" t="s">
        <v>1269</v>
      </c>
      <c r="D76" s="46"/>
      <c r="E76" s="46"/>
      <c r="F76" s="46"/>
      <c r="G76" s="46"/>
      <c r="H76" s="46"/>
      <c r="I76" s="46"/>
      <c r="J76" s="46"/>
      <c r="K76" s="46"/>
      <c r="L76" s="46" t="s">
        <v>1269</v>
      </c>
      <c r="M76" s="46"/>
      <c r="N76" s="46"/>
      <c r="O76" s="46"/>
      <c r="P76" s="46"/>
    </row>
    <row r="77" spans="1:16" x14ac:dyDescent="0.25">
      <c r="A77" t="s">
        <v>1121</v>
      </c>
      <c r="B77" t="s">
        <v>189</v>
      </c>
      <c r="C77" s="46" t="s">
        <v>1269</v>
      </c>
      <c r="D77" s="46"/>
      <c r="E77" s="46"/>
      <c r="F77" s="46"/>
      <c r="G77" s="46"/>
      <c r="H77" s="46"/>
      <c r="I77" s="46"/>
      <c r="J77" s="46"/>
      <c r="K77" s="46"/>
      <c r="L77" s="46" t="s">
        <v>1269</v>
      </c>
      <c r="M77" s="46"/>
      <c r="N77" s="46"/>
      <c r="O77" s="46"/>
      <c r="P77" s="46"/>
    </row>
    <row r="78" spans="1:16" x14ac:dyDescent="0.25">
      <c r="A78" t="s">
        <v>1122</v>
      </c>
      <c r="B78" t="s">
        <v>191</v>
      </c>
      <c r="C78" s="46" t="s">
        <v>1269</v>
      </c>
      <c r="D78" s="46"/>
      <c r="E78" s="46"/>
      <c r="F78" s="46"/>
      <c r="G78" s="46"/>
      <c r="H78" s="46"/>
      <c r="I78" s="46"/>
      <c r="J78" s="46"/>
      <c r="K78" s="46"/>
      <c r="L78" s="46" t="s">
        <v>1269</v>
      </c>
      <c r="M78" s="46"/>
      <c r="N78" s="46"/>
      <c r="O78" s="46"/>
      <c r="P78" s="46"/>
    </row>
    <row r="79" spans="1:16" x14ac:dyDescent="0.25">
      <c r="A79" t="s">
        <v>1123</v>
      </c>
      <c r="B79" t="s">
        <v>193</v>
      </c>
      <c r="C79" s="46" t="s">
        <v>1269</v>
      </c>
      <c r="D79" s="46" t="s">
        <v>1269</v>
      </c>
      <c r="E79" s="46"/>
      <c r="F79" s="46"/>
      <c r="G79" s="46"/>
      <c r="H79" s="46" t="s">
        <v>1269</v>
      </c>
      <c r="I79" s="46"/>
      <c r="J79" s="46"/>
      <c r="K79" s="46"/>
      <c r="L79" s="46" t="s">
        <v>1269</v>
      </c>
      <c r="M79" s="46"/>
      <c r="N79" s="46"/>
      <c r="O79" s="46"/>
      <c r="P79" s="46"/>
    </row>
    <row r="80" spans="1:16" x14ac:dyDescent="0.25">
      <c r="A80" t="s">
        <v>1124</v>
      </c>
      <c r="B80" t="s">
        <v>195</v>
      </c>
      <c r="C80" s="46" t="s">
        <v>1269</v>
      </c>
      <c r="D80" s="46" t="s">
        <v>1269</v>
      </c>
      <c r="E80" s="46"/>
      <c r="F80" s="46"/>
      <c r="G80" s="46"/>
      <c r="H80" s="46" t="s">
        <v>1269</v>
      </c>
      <c r="I80" s="46"/>
      <c r="J80" s="46"/>
      <c r="K80" s="46"/>
      <c r="L80" s="46" t="s">
        <v>1269</v>
      </c>
      <c r="M80" s="46"/>
      <c r="N80" s="46"/>
      <c r="O80" s="46"/>
      <c r="P80" s="46"/>
    </row>
    <row r="81" spans="1:16" x14ac:dyDescent="0.25">
      <c r="A81" t="s">
        <v>1125</v>
      </c>
      <c r="B81" t="s">
        <v>197</v>
      </c>
      <c r="C81" s="46" t="s">
        <v>1269</v>
      </c>
      <c r="D81" s="46"/>
      <c r="E81" s="46"/>
      <c r="F81" s="46" t="s">
        <v>1269</v>
      </c>
      <c r="G81" s="46"/>
      <c r="H81" s="46" t="s">
        <v>1269</v>
      </c>
      <c r="I81" s="46" t="s">
        <v>1269</v>
      </c>
      <c r="J81" s="46"/>
      <c r="K81" s="46"/>
      <c r="L81" s="46" t="s">
        <v>1269</v>
      </c>
      <c r="M81" s="46"/>
      <c r="N81" s="46"/>
      <c r="O81" s="46"/>
      <c r="P81" s="46"/>
    </row>
    <row r="82" spans="1:16" x14ac:dyDescent="0.25">
      <c r="A82" t="s">
        <v>1126</v>
      </c>
      <c r="B82" t="s">
        <v>199</v>
      </c>
      <c r="C82" s="46" t="s">
        <v>1269</v>
      </c>
      <c r="D82" s="46"/>
      <c r="E82" s="46"/>
      <c r="F82" s="46"/>
      <c r="G82" s="46"/>
      <c r="H82" s="46" t="s">
        <v>1269</v>
      </c>
      <c r="I82" s="46"/>
      <c r="J82" s="46"/>
      <c r="K82" s="46"/>
      <c r="L82" s="46" t="s">
        <v>1269</v>
      </c>
      <c r="M82" s="46"/>
      <c r="N82" s="46"/>
      <c r="O82" s="46"/>
      <c r="P82" s="46"/>
    </row>
    <row r="83" spans="1:16" x14ac:dyDescent="0.25">
      <c r="A83" t="s">
        <v>1127</v>
      </c>
      <c r="B83" t="s">
        <v>201</v>
      </c>
      <c r="C83" s="46" t="s">
        <v>1269</v>
      </c>
      <c r="D83" s="46"/>
      <c r="E83" s="46"/>
      <c r="F83" s="46"/>
      <c r="G83" s="46"/>
      <c r="H83" s="46"/>
      <c r="I83" s="46"/>
      <c r="J83" s="46"/>
      <c r="K83" s="46"/>
      <c r="L83" s="46" t="s">
        <v>1269</v>
      </c>
      <c r="M83" s="46"/>
      <c r="N83" s="46"/>
      <c r="O83" s="46"/>
      <c r="P83" s="46"/>
    </row>
    <row r="84" spans="1:16" x14ac:dyDescent="0.25">
      <c r="A84" t="s">
        <v>1128</v>
      </c>
      <c r="B84" t="s">
        <v>203</v>
      </c>
      <c r="C84" s="46" t="s">
        <v>1269</v>
      </c>
      <c r="D84" s="46"/>
      <c r="E84" s="46"/>
      <c r="F84" s="46"/>
      <c r="G84" s="46"/>
      <c r="H84" s="46"/>
      <c r="I84" s="46"/>
      <c r="J84" s="46"/>
      <c r="K84" s="46"/>
      <c r="L84" s="46" t="s">
        <v>1269</v>
      </c>
      <c r="M84" s="46"/>
      <c r="N84" s="46"/>
      <c r="O84" s="46"/>
      <c r="P84" s="46"/>
    </row>
    <row r="85" spans="1:16" x14ac:dyDescent="0.25">
      <c r="A85" t="s">
        <v>1129</v>
      </c>
      <c r="B85" t="s">
        <v>1130</v>
      </c>
      <c r="C85" s="46" t="s">
        <v>1269</v>
      </c>
      <c r="D85" s="46"/>
      <c r="E85" s="46"/>
      <c r="F85" s="46" t="s">
        <v>1269</v>
      </c>
      <c r="G85" s="46"/>
      <c r="H85" s="46" t="s">
        <v>1269</v>
      </c>
      <c r="I85" s="46"/>
      <c r="J85" s="46"/>
      <c r="K85" s="46"/>
      <c r="L85" s="46" t="s">
        <v>1269</v>
      </c>
      <c r="M85" s="46"/>
      <c r="N85" s="46" t="s">
        <v>1269</v>
      </c>
      <c r="O85" s="46"/>
      <c r="P85" s="46"/>
    </row>
    <row r="86" spans="1:16" x14ac:dyDescent="0.25">
      <c r="A86" t="s">
        <v>1131</v>
      </c>
      <c r="B86" t="s">
        <v>205</v>
      </c>
      <c r="C86" s="46" t="s">
        <v>1269</v>
      </c>
      <c r="D86" s="46" t="s">
        <v>1269</v>
      </c>
      <c r="E86" s="46"/>
      <c r="F86" s="46"/>
      <c r="G86" s="46"/>
      <c r="H86" s="46" t="s">
        <v>1269</v>
      </c>
      <c r="I86" s="46"/>
      <c r="J86" s="46"/>
      <c r="K86" s="46"/>
      <c r="L86" s="46" t="s">
        <v>1269</v>
      </c>
      <c r="M86" s="46"/>
      <c r="N86" s="46"/>
      <c r="O86" s="46"/>
      <c r="P86" s="46"/>
    </row>
    <row r="87" spans="1:16" x14ac:dyDescent="0.25">
      <c r="A87" t="s">
        <v>1132</v>
      </c>
      <c r="B87" t="s">
        <v>207</v>
      </c>
      <c r="C87" s="46" t="s">
        <v>1269</v>
      </c>
      <c r="D87" s="46"/>
      <c r="E87" s="46"/>
      <c r="F87" s="46"/>
      <c r="G87" s="46"/>
      <c r="H87" s="46" t="s">
        <v>1269</v>
      </c>
      <c r="I87" s="46"/>
      <c r="J87" s="46"/>
      <c r="K87" s="46"/>
      <c r="L87" s="46" t="s">
        <v>1269</v>
      </c>
      <c r="M87" s="46"/>
      <c r="N87" s="46"/>
      <c r="O87" s="46"/>
      <c r="P87" s="46"/>
    </row>
    <row r="88" spans="1:16" x14ac:dyDescent="0.25">
      <c r="A88" t="s">
        <v>1133</v>
      </c>
      <c r="B88" t="s">
        <v>209</v>
      </c>
      <c r="C88" s="46" t="s">
        <v>1269</v>
      </c>
      <c r="D88" s="46" t="s">
        <v>1269</v>
      </c>
      <c r="E88" s="46"/>
      <c r="F88" s="46"/>
      <c r="G88" s="46"/>
      <c r="H88" s="46" t="s">
        <v>1269</v>
      </c>
      <c r="I88" s="46"/>
      <c r="J88" s="46"/>
      <c r="K88" s="46"/>
      <c r="L88" s="46" t="s">
        <v>1269</v>
      </c>
      <c r="M88" s="46"/>
      <c r="N88" s="46"/>
      <c r="O88" s="46"/>
      <c r="P88" s="46"/>
    </row>
    <row r="89" spans="1:16" x14ac:dyDescent="0.25">
      <c r="A89" t="s">
        <v>1134</v>
      </c>
      <c r="B89" t="s">
        <v>211</v>
      </c>
      <c r="C89" s="46" t="s">
        <v>1269</v>
      </c>
      <c r="D89" s="46" t="s">
        <v>1269</v>
      </c>
      <c r="E89" s="46"/>
      <c r="F89" s="46"/>
      <c r="G89" s="46"/>
      <c r="H89" s="46" t="s">
        <v>1269</v>
      </c>
      <c r="I89" s="46"/>
      <c r="J89" s="46"/>
      <c r="K89" s="46"/>
      <c r="L89" s="46" t="s">
        <v>1269</v>
      </c>
      <c r="M89" s="46"/>
      <c r="N89" s="46"/>
      <c r="O89" s="46"/>
      <c r="P89" s="46"/>
    </row>
    <row r="90" spans="1:16" x14ac:dyDescent="0.25">
      <c r="A90" t="s">
        <v>1135</v>
      </c>
      <c r="B90" t="s">
        <v>213</v>
      </c>
      <c r="C90" s="46" t="s">
        <v>1269</v>
      </c>
      <c r="D90" s="46" t="s">
        <v>1269</v>
      </c>
      <c r="E90" s="46"/>
      <c r="F90" s="46"/>
      <c r="G90" s="46"/>
      <c r="H90" s="46" t="s">
        <v>1269</v>
      </c>
      <c r="I90" s="46"/>
      <c r="J90" s="46" t="s">
        <v>1269</v>
      </c>
      <c r="K90" s="46"/>
      <c r="L90" s="46" t="s">
        <v>1269</v>
      </c>
      <c r="M90" s="46" t="s">
        <v>1269</v>
      </c>
      <c r="N90" s="46"/>
      <c r="O90" s="46"/>
      <c r="P90" s="46"/>
    </row>
    <row r="91" spans="1:16" x14ac:dyDescent="0.25">
      <c r="A91" t="s">
        <v>1136</v>
      </c>
      <c r="B91" t="s">
        <v>215</v>
      </c>
      <c r="C91" s="46" t="s">
        <v>1269</v>
      </c>
      <c r="D91" s="46" t="s">
        <v>1269</v>
      </c>
      <c r="E91" s="46"/>
      <c r="F91" s="46"/>
      <c r="G91" s="46"/>
      <c r="H91" s="46" t="s">
        <v>1269</v>
      </c>
      <c r="I91" s="46"/>
      <c r="J91" s="46" t="s">
        <v>1269</v>
      </c>
      <c r="K91" s="46"/>
      <c r="L91" s="46" t="s">
        <v>1269</v>
      </c>
      <c r="M91" s="46" t="s">
        <v>1269</v>
      </c>
      <c r="N91" s="46"/>
      <c r="O91" s="46"/>
      <c r="P91" s="46"/>
    </row>
    <row r="92" spans="1:16" x14ac:dyDescent="0.25">
      <c r="A92" t="s">
        <v>1137</v>
      </c>
      <c r="B92" t="s">
        <v>217</v>
      </c>
      <c r="C92" s="46" t="s">
        <v>1269</v>
      </c>
      <c r="D92" s="46" t="s">
        <v>1269</v>
      </c>
      <c r="E92" s="46"/>
      <c r="F92" s="46" t="s">
        <v>1269</v>
      </c>
      <c r="G92" s="46"/>
      <c r="H92" s="46" t="s">
        <v>1269</v>
      </c>
      <c r="I92" s="46"/>
      <c r="J92" s="46"/>
      <c r="K92" s="46"/>
      <c r="L92" s="46" t="s">
        <v>1269</v>
      </c>
      <c r="M92" s="46"/>
      <c r="N92" s="46"/>
      <c r="O92" s="46"/>
      <c r="P92" s="46"/>
    </row>
    <row r="93" spans="1:16" x14ac:dyDescent="0.25">
      <c r="A93" t="s">
        <v>1138</v>
      </c>
      <c r="B93" t="s">
        <v>219</v>
      </c>
      <c r="C93" s="46" t="s">
        <v>1269</v>
      </c>
      <c r="D93" s="46"/>
      <c r="E93" s="46"/>
      <c r="F93" s="46"/>
      <c r="G93" s="46"/>
      <c r="H93" s="46" t="s">
        <v>1269</v>
      </c>
      <c r="I93" s="46"/>
      <c r="J93" s="46"/>
      <c r="K93" s="46"/>
      <c r="L93" s="46" t="s">
        <v>1269</v>
      </c>
      <c r="M93" s="46"/>
      <c r="N93" s="46"/>
      <c r="O93" s="46"/>
      <c r="P93" s="46"/>
    </row>
    <row r="94" spans="1:16" x14ac:dyDescent="0.25">
      <c r="A94" t="s">
        <v>1139</v>
      </c>
      <c r="B94" t="s">
        <v>221</v>
      </c>
      <c r="C94" s="46" t="s">
        <v>1269</v>
      </c>
      <c r="D94" s="46"/>
      <c r="E94" s="46"/>
      <c r="F94" s="46"/>
      <c r="G94" s="46"/>
      <c r="H94" s="46" t="s">
        <v>1269</v>
      </c>
      <c r="I94" s="46"/>
      <c r="J94" s="46"/>
      <c r="K94" s="46"/>
      <c r="L94" s="46" t="s">
        <v>1269</v>
      </c>
      <c r="M94" s="46"/>
      <c r="N94" s="46"/>
      <c r="O94" s="46"/>
      <c r="P94" s="46"/>
    </row>
    <row r="95" spans="1:16" x14ac:dyDescent="0.25">
      <c r="A95" t="s">
        <v>1140</v>
      </c>
      <c r="B95" t="s">
        <v>1141</v>
      </c>
      <c r="C95" s="46" t="s">
        <v>1269</v>
      </c>
      <c r="D95" s="46"/>
      <c r="E95" s="46"/>
      <c r="F95" s="46" t="s">
        <v>1269</v>
      </c>
      <c r="G95" s="46"/>
      <c r="H95" s="46" t="s">
        <v>1269</v>
      </c>
      <c r="I95" s="46"/>
      <c r="J95" s="46"/>
      <c r="K95" s="46"/>
      <c r="L95" s="46" t="s">
        <v>1269</v>
      </c>
      <c r="M95" s="46"/>
      <c r="N95" s="46" t="s">
        <v>1269</v>
      </c>
      <c r="O95" s="46"/>
      <c r="P95" s="46"/>
    </row>
    <row r="96" spans="1:16" x14ac:dyDescent="0.25">
      <c r="A96" t="s">
        <v>1142</v>
      </c>
      <c r="B96" t="s">
        <v>223</v>
      </c>
      <c r="C96" s="46" t="s">
        <v>1269</v>
      </c>
      <c r="D96" s="46"/>
      <c r="E96" s="46"/>
      <c r="F96" s="46" t="s">
        <v>1269</v>
      </c>
      <c r="G96" s="46"/>
      <c r="H96" s="46" t="s">
        <v>1269</v>
      </c>
      <c r="I96" s="46"/>
      <c r="J96" s="46"/>
      <c r="K96" s="46"/>
      <c r="L96" s="46" t="s">
        <v>1269</v>
      </c>
      <c r="M96" s="46"/>
      <c r="N96" s="46"/>
      <c r="O96" s="46"/>
      <c r="P96" s="46"/>
    </row>
    <row r="97" spans="1:16" x14ac:dyDescent="0.25">
      <c r="A97" t="s">
        <v>1143</v>
      </c>
      <c r="B97" t="s">
        <v>225</v>
      </c>
      <c r="C97" s="46" t="s">
        <v>1269</v>
      </c>
      <c r="D97" s="46"/>
      <c r="E97" s="46"/>
      <c r="F97" s="46"/>
      <c r="G97" s="46"/>
      <c r="H97" s="46" t="s">
        <v>1269</v>
      </c>
      <c r="I97" s="46"/>
      <c r="J97" s="46"/>
      <c r="K97" s="46"/>
      <c r="L97" s="46" t="s">
        <v>1269</v>
      </c>
      <c r="M97" s="46"/>
      <c r="N97" s="46"/>
      <c r="O97" s="46"/>
      <c r="P97" s="46"/>
    </row>
    <row r="98" spans="1:16" x14ac:dyDescent="0.25">
      <c r="A98" t="s">
        <v>1144</v>
      </c>
      <c r="B98" t="s">
        <v>227</v>
      </c>
      <c r="C98" s="46" t="s">
        <v>1269</v>
      </c>
      <c r="D98" s="46"/>
      <c r="E98" s="46"/>
      <c r="F98" s="46"/>
      <c r="G98" s="46"/>
      <c r="H98" s="46" t="s">
        <v>1269</v>
      </c>
      <c r="I98" s="46"/>
      <c r="J98" s="46"/>
      <c r="K98" s="46"/>
      <c r="L98" s="46" t="s">
        <v>1269</v>
      </c>
      <c r="M98" s="46"/>
      <c r="N98" s="46"/>
      <c r="O98" s="46"/>
      <c r="P98" s="46"/>
    </row>
    <row r="99" spans="1:16" x14ac:dyDescent="0.25">
      <c r="A99" t="s">
        <v>1145</v>
      </c>
      <c r="B99" t="s">
        <v>229</v>
      </c>
      <c r="C99" s="46" t="s">
        <v>1269</v>
      </c>
      <c r="D99" s="46"/>
      <c r="E99" s="46"/>
      <c r="F99" s="46"/>
      <c r="G99" s="46"/>
      <c r="H99" s="46" t="s">
        <v>1269</v>
      </c>
      <c r="I99" s="46"/>
      <c r="J99" s="46"/>
      <c r="K99" s="46"/>
      <c r="L99" s="46" t="s">
        <v>1269</v>
      </c>
      <c r="M99" s="46"/>
      <c r="N99" s="46"/>
      <c r="O99" s="46"/>
      <c r="P99" s="46"/>
    </row>
    <row r="100" spans="1:16" x14ac:dyDescent="0.25">
      <c r="A100" t="s">
        <v>1146</v>
      </c>
      <c r="B100" t="s">
        <v>231</v>
      </c>
      <c r="C100" s="46" t="s">
        <v>1269</v>
      </c>
      <c r="D100" s="46"/>
      <c r="E100" s="46"/>
      <c r="F100" s="46"/>
      <c r="G100" s="46"/>
      <c r="H100" s="46" t="s">
        <v>1269</v>
      </c>
      <c r="I100" s="46"/>
      <c r="J100" s="46"/>
      <c r="K100" s="46"/>
      <c r="L100" s="46" t="s">
        <v>1269</v>
      </c>
      <c r="M100" s="46"/>
      <c r="N100" s="46"/>
      <c r="O100" s="46"/>
      <c r="P100" s="46"/>
    </row>
    <row r="101" spans="1:16" x14ac:dyDescent="0.25">
      <c r="A101" t="s">
        <v>1147</v>
      </c>
      <c r="B101" t="s">
        <v>233</v>
      </c>
      <c r="C101" s="46" t="s">
        <v>1269</v>
      </c>
      <c r="D101" s="46"/>
      <c r="E101" s="46"/>
      <c r="F101" s="46"/>
      <c r="G101" s="46"/>
      <c r="H101" s="46" t="s">
        <v>1269</v>
      </c>
      <c r="I101" s="46"/>
      <c r="J101" s="46"/>
      <c r="K101" s="46"/>
      <c r="L101" s="46" t="s">
        <v>1269</v>
      </c>
      <c r="M101" s="46"/>
      <c r="N101" s="46"/>
      <c r="O101" s="46"/>
      <c r="P101" s="46"/>
    </row>
    <row r="102" spans="1:16" x14ac:dyDescent="0.25">
      <c r="A102" t="s">
        <v>1148</v>
      </c>
      <c r="B102" t="s">
        <v>235</v>
      </c>
      <c r="C102" s="46" t="s">
        <v>1269</v>
      </c>
      <c r="D102" s="46"/>
      <c r="E102" s="46"/>
      <c r="F102" s="46" t="s">
        <v>1269</v>
      </c>
      <c r="G102" s="46"/>
      <c r="H102" s="46" t="s">
        <v>1269</v>
      </c>
      <c r="I102" s="46"/>
      <c r="J102" s="46"/>
      <c r="K102" s="46"/>
      <c r="L102" s="46" t="s">
        <v>1269</v>
      </c>
      <c r="M102" s="46"/>
      <c r="N102" s="46"/>
      <c r="O102" s="46"/>
      <c r="P102" s="46"/>
    </row>
    <row r="103" spans="1:16" x14ac:dyDescent="0.25">
      <c r="A103" t="s">
        <v>1149</v>
      </c>
      <c r="B103" t="s">
        <v>237</v>
      </c>
      <c r="C103" s="46" t="s">
        <v>1269</v>
      </c>
      <c r="D103" s="46"/>
      <c r="E103" s="46"/>
      <c r="F103" s="46"/>
      <c r="G103" s="46"/>
      <c r="H103" s="46" t="s">
        <v>1269</v>
      </c>
      <c r="I103" s="46"/>
      <c r="J103" s="46"/>
      <c r="K103" s="46"/>
      <c r="L103" s="46" t="s">
        <v>1269</v>
      </c>
      <c r="M103" s="46"/>
      <c r="N103" s="46"/>
      <c r="O103" s="46"/>
      <c r="P103" s="46"/>
    </row>
    <row r="104" spans="1:16" x14ac:dyDescent="0.25">
      <c r="A104" t="s">
        <v>1150</v>
      </c>
      <c r="B104" t="s">
        <v>239</v>
      </c>
      <c r="C104" s="46" t="s">
        <v>1269</v>
      </c>
      <c r="D104" s="46"/>
      <c r="E104" s="46"/>
      <c r="F104" s="46"/>
      <c r="G104" s="46"/>
      <c r="H104" s="46" t="s">
        <v>1269</v>
      </c>
      <c r="I104" s="46"/>
      <c r="J104" s="46"/>
      <c r="K104" s="46"/>
      <c r="L104" s="46" t="s">
        <v>1269</v>
      </c>
      <c r="M104" s="46"/>
      <c r="N104" s="46"/>
      <c r="O104" s="46"/>
      <c r="P104" s="46"/>
    </row>
    <row r="105" spans="1:16" x14ac:dyDescent="0.25">
      <c r="A105" t="s">
        <v>1151</v>
      </c>
      <c r="B105" t="s">
        <v>241</v>
      </c>
      <c r="C105" s="46" t="s">
        <v>1269</v>
      </c>
      <c r="D105" s="46"/>
      <c r="E105" s="46" t="s">
        <v>1269</v>
      </c>
      <c r="F105" s="46"/>
      <c r="G105" s="46"/>
      <c r="H105" s="46" t="s">
        <v>1269</v>
      </c>
      <c r="I105" s="46"/>
      <c r="J105" s="46"/>
      <c r="K105" s="46"/>
      <c r="L105" s="46" t="s">
        <v>1269</v>
      </c>
      <c r="M105" s="46"/>
      <c r="N105" s="46"/>
      <c r="O105" s="46"/>
      <c r="P105" s="46"/>
    </row>
    <row r="106" spans="1:16" x14ac:dyDescent="0.25">
      <c r="A106" t="s">
        <v>1152</v>
      </c>
      <c r="B106" t="s">
        <v>245</v>
      </c>
      <c r="C106" s="46" t="s">
        <v>1269</v>
      </c>
      <c r="D106" s="46"/>
      <c r="E106" s="46"/>
      <c r="F106" s="46"/>
      <c r="G106" s="46"/>
      <c r="H106" s="46" t="s">
        <v>1269</v>
      </c>
      <c r="I106" s="46" t="s">
        <v>1269</v>
      </c>
      <c r="J106" s="46"/>
      <c r="K106" s="46"/>
      <c r="L106" s="46" t="s">
        <v>1269</v>
      </c>
      <c r="M106" s="46"/>
      <c r="N106" s="46" t="s">
        <v>1269</v>
      </c>
      <c r="O106" s="46" t="s">
        <v>1269</v>
      </c>
      <c r="P106" s="46"/>
    </row>
    <row r="107" spans="1:16" x14ac:dyDescent="0.25">
      <c r="A107" t="s">
        <v>1153</v>
      </c>
      <c r="B107" t="s">
        <v>247</v>
      </c>
      <c r="C107" s="46" t="s">
        <v>1269</v>
      </c>
      <c r="D107" s="46"/>
      <c r="E107" s="46"/>
      <c r="F107" s="46"/>
      <c r="G107" s="46"/>
      <c r="H107" s="46" t="s">
        <v>1269</v>
      </c>
      <c r="I107" s="46" t="s">
        <v>1269</v>
      </c>
      <c r="J107" s="46"/>
      <c r="K107" s="46"/>
      <c r="L107" s="46" t="s">
        <v>1269</v>
      </c>
      <c r="M107" s="46"/>
      <c r="N107" s="46" t="s">
        <v>1269</v>
      </c>
      <c r="O107" s="46" t="s">
        <v>1269</v>
      </c>
      <c r="P107" s="46"/>
    </row>
    <row r="108" spans="1:16" x14ac:dyDescent="0.25">
      <c r="A108" t="s">
        <v>1154</v>
      </c>
      <c r="B108" t="s">
        <v>249</v>
      </c>
      <c r="C108" s="46" t="s">
        <v>1269</v>
      </c>
      <c r="D108" s="46"/>
      <c r="E108" s="46"/>
      <c r="F108" s="46"/>
      <c r="G108" s="46"/>
      <c r="H108" s="46" t="s">
        <v>1269</v>
      </c>
      <c r="I108" s="46" t="s">
        <v>1269</v>
      </c>
      <c r="J108" s="46"/>
      <c r="K108" s="46"/>
      <c r="L108" s="46" t="s">
        <v>1269</v>
      </c>
      <c r="M108" s="46"/>
      <c r="N108" s="46" t="s">
        <v>1269</v>
      </c>
      <c r="O108" s="46" t="s">
        <v>1269</v>
      </c>
      <c r="P108" s="46"/>
    </row>
    <row r="109" spans="1:16" x14ac:dyDescent="0.25">
      <c r="A109" t="s">
        <v>1155</v>
      </c>
      <c r="B109" t="s">
        <v>251</v>
      </c>
      <c r="C109" s="46" t="s">
        <v>1269</v>
      </c>
      <c r="D109" s="46"/>
      <c r="E109" s="46"/>
      <c r="F109" s="46"/>
      <c r="G109" s="46"/>
      <c r="H109" s="46" t="s">
        <v>1269</v>
      </c>
      <c r="I109" s="46" t="s">
        <v>1269</v>
      </c>
      <c r="J109" s="46"/>
      <c r="K109" s="46"/>
      <c r="L109" s="46" t="s">
        <v>1269</v>
      </c>
      <c r="M109" s="46"/>
      <c r="N109" s="46" t="s">
        <v>1269</v>
      </c>
      <c r="O109" s="46" t="s">
        <v>1269</v>
      </c>
      <c r="P109" s="46"/>
    </row>
    <row r="110" spans="1:16" x14ac:dyDescent="0.25">
      <c r="A110" t="s">
        <v>1156</v>
      </c>
      <c r="B110" t="s">
        <v>253</v>
      </c>
      <c r="C110" s="46" t="s">
        <v>1269</v>
      </c>
      <c r="D110" s="46"/>
      <c r="E110" s="46"/>
      <c r="F110" s="46"/>
      <c r="G110" s="46"/>
      <c r="H110" s="46" t="s">
        <v>1269</v>
      </c>
      <c r="I110" s="46" t="s">
        <v>1269</v>
      </c>
      <c r="J110" s="46"/>
      <c r="K110" s="46"/>
      <c r="L110" s="46" t="s">
        <v>1269</v>
      </c>
      <c r="M110" s="46"/>
      <c r="N110" s="46" t="s">
        <v>1269</v>
      </c>
      <c r="O110" s="46" t="s">
        <v>1269</v>
      </c>
      <c r="P110" s="46"/>
    </row>
    <row r="111" spans="1:16" x14ac:dyDescent="0.25">
      <c r="A111" t="s">
        <v>1157</v>
      </c>
      <c r="B111" t="s">
        <v>255</v>
      </c>
      <c r="C111" s="46" t="s">
        <v>1269</v>
      </c>
      <c r="D111" s="46"/>
      <c r="E111" s="46"/>
      <c r="F111" s="46"/>
      <c r="G111" s="46"/>
      <c r="H111" s="46" t="s">
        <v>1269</v>
      </c>
      <c r="I111" s="46" t="s">
        <v>1269</v>
      </c>
      <c r="J111" s="46"/>
      <c r="K111" s="46"/>
      <c r="L111" s="46" t="s">
        <v>1269</v>
      </c>
      <c r="M111" s="46"/>
      <c r="N111" s="46" t="s">
        <v>1269</v>
      </c>
      <c r="O111" s="46" t="s">
        <v>1269</v>
      </c>
      <c r="P111" s="46"/>
    </row>
    <row r="112" spans="1:16" x14ac:dyDescent="0.25">
      <c r="A112" t="s">
        <v>1158</v>
      </c>
      <c r="B112" t="s">
        <v>257</v>
      </c>
      <c r="C112" s="46" t="s">
        <v>1269</v>
      </c>
      <c r="D112" s="46"/>
      <c r="E112" s="46"/>
      <c r="F112" s="46"/>
      <c r="G112" s="46"/>
      <c r="H112" s="46" t="s">
        <v>1269</v>
      </c>
      <c r="I112" s="46" t="s">
        <v>1269</v>
      </c>
      <c r="J112" s="46"/>
      <c r="K112" s="46"/>
      <c r="L112" s="46" t="s">
        <v>1269</v>
      </c>
      <c r="M112" s="46"/>
      <c r="N112" s="46" t="s">
        <v>1269</v>
      </c>
      <c r="O112" s="46" t="s">
        <v>1269</v>
      </c>
      <c r="P112" s="46"/>
    </row>
    <row r="113" spans="1:16" x14ac:dyDescent="0.25">
      <c r="A113" t="s">
        <v>1159</v>
      </c>
      <c r="B113" t="s">
        <v>259</v>
      </c>
      <c r="C113" s="46" t="s">
        <v>1269</v>
      </c>
      <c r="D113" s="46"/>
      <c r="E113" s="46"/>
      <c r="F113" s="46"/>
      <c r="G113" s="46"/>
      <c r="H113" s="46" t="s">
        <v>1269</v>
      </c>
      <c r="I113" s="46" t="s">
        <v>1269</v>
      </c>
      <c r="J113" s="46"/>
      <c r="K113" s="46"/>
      <c r="L113" s="46" t="s">
        <v>1269</v>
      </c>
      <c r="M113" s="46"/>
      <c r="N113" s="46" t="s">
        <v>1269</v>
      </c>
      <c r="O113" s="46" t="s">
        <v>1269</v>
      </c>
      <c r="P113" s="46"/>
    </row>
    <row r="114" spans="1:16" x14ac:dyDescent="0.25">
      <c r="A114" t="s">
        <v>1160</v>
      </c>
      <c r="B114" t="s">
        <v>261</v>
      </c>
      <c r="C114" s="46" t="s">
        <v>1269</v>
      </c>
      <c r="D114" s="46"/>
      <c r="E114" s="46"/>
      <c r="F114" s="46"/>
      <c r="G114" s="46"/>
      <c r="H114" s="46" t="s">
        <v>1269</v>
      </c>
      <c r="I114" s="46" t="s">
        <v>1269</v>
      </c>
      <c r="J114" s="46"/>
      <c r="K114" s="46"/>
      <c r="L114" s="46" t="s">
        <v>1269</v>
      </c>
      <c r="M114" s="46"/>
      <c r="N114" s="46" t="s">
        <v>1269</v>
      </c>
      <c r="O114" s="46" t="s">
        <v>1269</v>
      </c>
      <c r="P114" s="46"/>
    </row>
    <row r="115" spans="1:16" x14ac:dyDescent="0.25">
      <c r="A115" t="s">
        <v>1161</v>
      </c>
      <c r="B115" t="s">
        <v>243</v>
      </c>
      <c r="C115" s="46" t="s">
        <v>1269</v>
      </c>
      <c r="D115" s="46"/>
      <c r="E115" s="46"/>
      <c r="F115" s="46"/>
      <c r="G115" s="46"/>
      <c r="H115" s="46" t="s">
        <v>1269</v>
      </c>
      <c r="I115" s="46"/>
      <c r="J115" s="46"/>
      <c r="K115" s="46"/>
      <c r="L115" s="46" t="s">
        <v>1269</v>
      </c>
      <c r="M115" s="46"/>
      <c r="N115" s="46"/>
      <c r="O115" s="46"/>
      <c r="P115" s="46"/>
    </row>
    <row r="116" spans="1:16" x14ac:dyDescent="0.25">
      <c r="A116" t="s">
        <v>1162</v>
      </c>
      <c r="B116" t="s">
        <v>263</v>
      </c>
      <c r="C116" s="46" t="s">
        <v>1269</v>
      </c>
      <c r="D116" s="46"/>
      <c r="E116" s="46"/>
      <c r="F116" s="46"/>
      <c r="G116" s="46"/>
      <c r="H116" s="46"/>
      <c r="I116" s="46"/>
      <c r="J116" s="46"/>
      <c r="K116" s="46"/>
      <c r="L116" s="46" t="s">
        <v>1269</v>
      </c>
      <c r="M116" s="46"/>
      <c r="N116" s="46"/>
      <c r="O116" s="46"/>
      <c r="P116" s="46"/>
    </row>
    <row r="117" spans="1:16" x14ac:dyDescent="0.25">
      <c r="A117" t="s">
        <v>1163</v>
      </c>
      <c r="B117" t="s">
        <v>265</v>
      </c>
      <c r="C117" s="46" t="s">
        <v>1269</v>
      </c>
      <c r="D117" s="46"/>
      <c r="E117" s="46"/>
      <c r="F117" s="46"/>
      <c r="G117" s="46"/>
      <c r="H117" s="46"/>
      <c r="I117" s="46"/>
      <c r="J117" s="46"/>
      <c r="K117" s="46"/>
      <c r="L117" s="46" t="s">
        <v>1269</v>
      </c>
      <c r="M117" s="46"/>
      <c r="N117" s="46"/>
      <c r="O117" s="46"/>
      <c r="P117" s="46"/>
    </row>
    <row r="118" spans="1:16" x14ac:dyDescent="0.25">
      <c r="A118" t="s">
        <v>1164</v>
      </c>
      <c r="B118" t="s">
        <v>267</v>
      </c>
      <c r="C118" s="46" t="s">
        <v>1269</v>
      </c>
      <c r="D118" s="46"/>
      <c r="E118" s="46"/>
      <c r="F118" s="46"/>
      <c r="G118" s="46"/>
      <c r="H118" s="46"/>
      <c r="I118" s="46"/>
      <c r="J118" s="46"/>
      <c r="K118" s="46"/>
      <c r="L118" s="46" t="s">
        <v>1269</v>
      </c>
      <c r="M118" s="46"/>
      <c r="N118" s="46"/>
      <c r="O118" s="46"/>
      <c r="P118" s="46"/>
    </row>
    <row r="119" spans="1:16" x14ac:dyDescent="0.25">
      <c r="A119" t="s">
        <v>1165</v>
      </c>
      <c r="B119" t="s">
        <v>269</v>
      </c>
      <c r="C119" s="46" t="s">
        <v>1269</v>
      </c>
      <c r="D119" s="46"/>
      <c r="E119" s="46"/>
      <c r="F119" s="46"/>
      <c r="G119" s="46"/>
      <c r="H119" s="46" t="s">
        <v>1269</v>
      </c>
      <c r="I119" s="46"/>
      <c r="J119" s="46"/>
      <c r="K119" s="46"/>
      <c r="L119" s="46" t="s">
        <v>1269</v>
      </c>
      <c r="M119" s="46"/>
      <c r="N119" s="46"/>
      <c r="O119" s="46"/>
      <c r="P119" s="46"/>
    </row>
    <row r="120" spans="1:16" x14ac:dyDescent="0.25">
      <c r="A120" t="s">
        <v>1166</v>
      </c>
      <c r="B120" t="s">
        <v>271</v>
      </c>
      <c r="C120" s="46" t="s">
        <v>1269</v>
      </c>
      <c r="D120" s="46"/>
      <c r="E120" s="46"/>
      <c r="F120" s="46" t="s">
        <v>1269</v>
      </c>
      <c r="G120" s="46"/>
      <c r="H120" s="46" t="s">
        <v>1269</v>
      </c>
      <c r="I120" s="46"/>
      <c r="J120" s="46"/>
      <c r="K120" s="46"/>
      <c r="L120" s="46" t="s">
        <v>1269</v>
      </c>
      <c r="M120" s="46"/>
      <c r="N120" s="46"/>
      <c r="O120" s="46"/>
      <c r="P120" s="46"/>
    </row>
    <row r="121" spans="1:16" x14ac:dyDescent="0.25">
      <c r="A121" t="s">
        <v>1167</v>
      </c>
      <c r="B121" t="s">
        <v>273</v>
      </c>
      <c r="C121" s="46" t="s">
        <v>1269</v>
      </c>
      <c r="D121" s="46"/>
      <c r="E121" s="46"/>
      <c r="F121" s="46"/>
      <c r="G121" s="46"/>
      <c r="H121" s="46"/>
      <c r="I121" s="46"/>
      <c r="J121" s="46"/>
      <c r="K121" s="46"/>
      <c r="L121" s="46" t="s">
        <v>1269</v>
      </c>
      <c r="M121" s="46"/>
      <c r="N121" s="46"/>
      <c r="O121" s="46"/>
      <c r="P121" s="46"/>
    </row>
    <row r="122" spans="1:16" x14ac:dyDescent="0.25">
      <c r="A122" t="s">
        <v>1168</v>
      </c>
      <c r="B122" t="s">
        <v>1169</v>
      </c>
      <c r="C122" s="46" t="s">
        <v>1269</v>
      </c>
      <c r="D122" s="46"/>
      <c r="E122" s="46"/>
      <c r="F122" s="46" t="s">
        <v>1269</v>
      </c>
      <c r="G122" s="46"/>
      <c r="H122" s="46" t="s">
        <v>1269</v>
      </c>
      <c r="I122" s="46"/>
      <c r="J122" s="46"/>
      <c r="K122" s="46"/>
      <c r="L122" s="46" t="s">
        <v>1269</v>
      </c>
      <c r="M122" s="46"/>
      <c r="N122" s="46" t="s">
        <v>1269</v>
      </c>
      <c r="O122" s="46"/>
      <c r="P122" s="46"/>
    </row>
    <row r="123" spans="1:16" x14ac:dyDescent="0.25">
      <c r="A123" t="s">
        <v>1170</v>
      </c>
      <c r="B123" t="s">
        <v>275</v>
      </c>
      <c r="C123" s="46" t="s">
        <v>1269</v>
      </c>
      <c r="D123" s="46"/>
      <c r="E123" s="46"/>
      <c r="F123" s="46" t="s">
        <v>1269</v>
      </c>
      <c r="G123" s="46"/>
      <c r="H123" s="46" t="s">
        <v>1269</v>
      </c>
      <c r="I123" s="46"/>
      <c r="J123" s="46"/>
      <c r="K123" s="46"/>
      <c r="L123" s="46" t="s">
        <v>1269</v>
      </c>
      <c r="M123" s="46"/>
      <c r="N123" s="46"/>
      <c r="O123" s="46"/>
      <c r="P123" s="46"/>
    </row>
    <row r="124" spans="1:16" x14ac:dyDescent="0.25">
      <c r="A124" t="s">
        <v>1171</v>
      </c>
      <c r="B124" t="s">
        <v>277</v>
      </c>
      <c r="C124" s="46" t="s">
        <v>1269</v>
      </c>
      <c r="D124" s="46"/>
      <c r="E124" s="46"/>
      <c r="F124" s="46" t="s">
        <v>1269</v>
      </c>
      <c r="G124" s="46"/>
      <c r="H124" s="46" t="s">
        <v>1269</v>
      </c>
      <c r="I124" s="46"/>
      <c r="J124" s="46"/>
      <c r="K124" s="46"/>
      <c r="L124" s="46" t="s">
        <v>1269</v>
      </c>
      <c r="M124" s="46"/>
      <c r="N124" s="46"/>
      <c r="O124" s="46"/>
      <c r="P124" s="46"/>
    </row>
    <row r="125" spans="1:16" x14ac:dyDescent="0.25">
      <c r="A125" t="s">
        <v>1172</v>
      </c>
      <c r="B125" t="s">
        <v>281</v>
      </c>
      <c r="C125" s="46" t="s">
        <v>1269</v>
      </c>
      <c r="D125" s="46"/>
      <c r="E125" s="46" t="s">
        <v>1269</v>
      </c>
      <c r="F125" s="46"/>
      <c r="G125" s="46" t="s">
        <v>1269</v>
      </c>
      <c r="H125" s="46" t="s">
        <v>1269</v>
      </c>
      <c r="I125" s="46" t="s">
        <v>1269</v>
      </c>
      <c r="J125" s="46"/>
      <c r="K125" s="46"/>
      <c r="L125" s="46" t="s">
        <v>1269</v>
      </c>
      <c r="M125" s="46"/>
      <c r="N125" s="46" t="s">
        <v>1269</v>
      </c>
      <c r="O125" s="46" t="s">
        <v>1269</v>
      </c>
      <c r="P125" s="46"/>
    </row>
    <row r="126" spans="1:16" x14ac:dyDescent="0.25">
      <c r="A126" t="s">
        <v>1173</v>
      </c>
      <c r="B126" t="s">
        <v>283</v>
      </c>
      <c r="C126" s="46" t="s">
        <v>1269</v>
      </c>
      <c r="D126" s="46"/>
      <c r="E126" s="46" t="s">
        <v>1269</v>
      </c>
      <c r="F126" s="46"/>
      <c r="G126" s="46" t="s">
        <v>1269</v>
      </c>
      <c r="H126" s="46" t="s">
        <v>1269</v>
      </c>
      <c r="I126" s="46" t="s">
        <v>1269</v>
      </c>
      <c r="J126" s="46"/>
      <c r="K126" s="46"/>
      <c r="L126" s="46" t="s">
        <v>1269</v>
      </c>
      <c r="M126" s="46"/>
      <c r="N126" s="46" t="s">
        <v>1269</v>
      </c>
      <c r="O126" s="46" t="s">
        <v>1269</v>
      </c>
      <c r="P126" s="46"/>
    </row>
    <row r="127" spans="1:16" x14ac:dyDescent="0.25">
      <c r="A127" t="s">
        <v>1174</v>
      </c>
      <c r="B127" t="s">
        <v>285</v>
      </c>
      <c r="C127" s="46" t="s">
        <v>1269</v>
      </c>
      <c r="D127" s="46"/>
      <c r="E127" s="46"/>
      <c r="F127" s="46"/>
      <c r="G127" s="46"/>
      <c r="H127" s="46"/>
      <c r="I127" s="46"/>
      <c r="J127" s="46"/>
      <c r="K127" s="46"/>
      <c r="L127" s="46" t="s">
        <v>1269</v>
      </c>
      <c r="M127" s="46"/>
      <c r="N127" s="46"/>
      <c r="O127" s="46"/>
      <c r="P127" s="46"/>
    </row>
    <row r="128" spans="1:16" x14ac:dyDescent="0.25">
      <c r="A128" t="s">
        <v>1175</v>
      </c>
      <c r="B128" t="s">
        <v>287</v>
      </c>
      <c r="C128" s="46" t="s">
        <v>1269</v>
      </c>
      <c r="D128" s="46"/>
      <c r="E128" s="46"/>
      <c r="F128" s="46"/>
      <c r="G128" s="46"/>
      <c r="H128" s="46"/>
      <c r="I128" s="46"/>
      <c r="J128" s="46"/>
      <c r="K128" s="46"/>
      <c r="L128" s="46" t="s">
        <v>1269</v>
      </c>
      <c r="M128" s="46"/>
      <c r="N128" s="46"/>
      <c r="O128" s="46"/>
      <c r="P128" s="46"/>
    </row>
    <row r="129" spans="1:16" x14ac:dyDescent="0.25">
      <c r="A129" t="s">
        <v>1176</v>
      </c>
      <c r="B129" t="s">
        <v>289</v>
      </c>
      <c r="C129" s="46" t="s">
        <v>1269</v>
      </c>
      <c r="D129" s="46"/>
      <c r="E129" s="46" t="s">
        <v>1269</v>
      </c>
      <c r="F129" s="46"/>
      <c r="G129" s="46" t="s">
        <v>1269</v>
      </c>
      <c r="H129" s="46" t="s">
        <v>1269</v>
      </c>
      <c r="I129" s="46" t="s">
        <v>1269</v>
      </c>
      <c r="J129" s="46"/>
      <c r="K129" s="46"/>
      <c r="L129" s="46" t="s">
        <v>1269</v>
      </c>
      <c r="M129" s="46"/>
      <c r="N129" s="46" t="s">
        <v>1269</v>
      </c>
      <c r="O129" s="46" t="s">
        <v>1269</v>
      </c>
      <c r="P129" s="46"/>
    </row>
    <row r="130" spans="1:16" x14ac:dyDescent="0.25">
      <c r="A130" t="s">
        <v>1177</v>
      </c>
      <c r="B130" t="s">
        <v>291</v>
      </c>
      <c r="C130" s="46" t="s">
        <v>1269</v>
      </c>
      <c r="D130" s="46"/>
      <c r="E130" s="46" t="s">
        <v>1269</v>
      </c>
      <c r="F130" s="46"/>
      <c r="G130" s="46" t="s">
        <v>1269</v>
      </c>
      <c r="H130" s="46" t="s">
        <v>1269</v>
      </c>
      <c r="I130" s="46" t="s">
        <v>1269</v>
      </c>
      <c r="J130" s="46"/>
      <c r="K130" s="46"/>
      <c r="L130" s="46" t="s">
        <v>1269</v>
      </c>
      <c r="M130" s="46"/>
      <c r="N130" s="46" t="s">
        <v>1269</v>
      </c>
      <c r="O130" s="46" t="s">
        <v>1269</v>
      </c>
      <c r="P130" s="46"/>
    </row>
    <row r="131" spans="1:16" x14ac:dyDescent="0.25">
      <c r="A131" t="s">
        <v>1178</v>
      </c>
      <c r="B131" t="s">
        <v>293</v>
      </c>
      <c r="C131" s="46" t="s">
        <v>1269</v>
      </c>
      <c r="D131" s="46"/>
      <c r="E131" s="46" t="s">
        <v>1269</v>
      </c>
      <c r="F131" s="46"/>
      <c r="G131" s="46" t="s">
        <v>1269</v>
      </c>
      <c r="H131" s="46" t="s">
        <v>1269</v>
      </c>
      <c r="I131" s="46" t="s">
        <v>1269</v>
      </c>
      <c r="J131" s="46"/>
      <c r="K131" s="46"/>
      <c r="L131" s="46" t="s">
        <v>1269</v>
      </c>
      <c r="M131" s="46"/>
      <c r="N131" s="46" t="s">
        <v>1269</v>
      </c>
      <c r="O131" s="46" t="s">
        <v>1269</v>
      </c>
      <c r="P131" s="46"/>
    </row>
    <row r="132" spans="1:16" x14ac:dyDescent="0.25">
      <c r="A132" t="s">
        <v>1179</v>
      </c>
      <c r="B132" t="s">
        <v>295</v>
      </c>
      <c r="C132" s="46" t="s">
        <v>1269</v>
      </c>
      <c r="D132" s="46"/>
      <c r="E132" s="46" t="s">
        <v>1269</v>
      </c>
      <c r="F132" s="46"/>
      <c r="G132" s="46" t="s">
        <v>1269</v>
      </c>
      <c r="H132" s="46" t="s">
        <v>1269</v>
      </c>
      <c r="I132" s="46" t="s">
        <v>1269</v>
      </c>
      <c r="J132" s="46"/>
      <c r="K132" s="46"/>
      <c r="L132" s="46" t="s">
        <v>1269</v>
      </c>
      <c r="M132" s="46"/>
      <c r="N132" s="46" t="s">
        <v>1269</v>
      </c>
      <c r="O132" s="46" t="s">
        <v>1269</v>
      </c>
      <c r="P132" s="46"/>
    </row>
    <row r="133" spans="1:16" x14ac:dyDescent="0.25">
      <c r="A133" t="s">
        <v>1180</v>
      </c>
      <c r="B133" t="s">
        <v>297</v>
      </c>
      <c r="C133" s="46" t="s">
        <v>1269</v>
      </c>
      <c r="D133" s="46"/>
      <c r="E133" s="46"/>
      <c r="F133" s="46"/>
      <c r="G133" s="46"/>
      <c r="H133" s="46"/>
      <c r="I133" s="46"/>
      <c r="J133" s="46"/>
      <c r="K133" s="46"/>
      <c r="L133" s="46" t="s">
        <v>1269</v>
      </c>
      <c r="M133" s="46"/>
      <c r="N133" s="46"/>
      <c r="O133" s="46"/>
      <c r="P133" s="46"/>
    </row>
    <row r="134" spans="1:16" x14ac:dyDescent="0.25">
      <c r="A134" t="s">
        <v>1181</v>
      </c>
      <c r="B134" t="s">
        <v>299</v>
      </c>
      <c r="C134" s="46" t="s">
        <v>1269</v>
      </c>
      <c r="D134" s="46"/>
      <c r="E134" s="46" t="s">
        <v>1269</v>
      </c>
      <c r="F134" s="46"/>
      <c r="G134" s="46" t="s">
        <v>1269</v>
      </c>
      <c r="H134" s="46" t="s">
        <v>1269</v>
      </c>
      <c r="I134" s="46" t="s">
        <v>1269</v>
      </c>
      <c r="J134" s="46"/>
      <c r="K134" s="46"/>
      <c r="L134" s="46" t="s">
        <v>1269</v>
      </c>
      <c r="M134" s="46"/>
      <c r="N134" s="46" t="s">
        <v>1269</v>
      </c>
      <c r="O134" s="46" t="s">
        <v>1269</v>
      </c>
      <c r="P134" s="46"/>
    </row>
    <row r="135" spans="1:16" x14ac:dyDescent="0.25">
      <c r="A135" t="s">
        <v>1182</v>
      </c>
      <c r="B135" t="s">
        <v>279</v>
      </c>
      <c r="C135" s="46" t="s">
        <v>1269</v>
      </c>
      <c r="D135" s="46"/>
      <c r="E135" s="46"/>
      <c r="F135" s="46" t="s">
        <v>1269</v>
      </c>
      <c r="G135" s="46"/>
      <c r="H135" s="46" t="s">
        <v>1269</v>
      </c>
      <c r="I135" s="46"/>
      <c r="J135" s="46"/>
      <c r="K135" s="46"/>
      <c r="L135" s="46" t="s">
        <v>1269</v>
      </c>
      <c r="M135" s="46"/>
      <c r="N135" s="46"/>
      <c r="O135" s="46"/>
      <c r="P135" s="46"/>
    </row>
    <row r="136" spans="1:16" x14ac:dyDescent="0.25">
      <c r="A136" t="s">
        <v>1183</v>
      </c>
      <c r="B136" t="s">
        <v>301</v>
      </c>
      <c r="C136" s="46" t="s">
        <v>1269</v>
      </c>
      <c r="D136" s="46"/>
      <c r="E136" s="46"/>
      <c r="F136" s="46"/>
      <c r="G136" s="46"/>
      <c r="H136" s="46"/>
      <c r="I136" s="46"/>
      <c r="J136" s="46"/>
      <c r="K136" s="46"/>
      <c r="L136" s="46" t="s">
        <v>1269</v>
      </c>
      <c r="M136" s="46"/>
      <c r="N136" s="46"/>
      <c r="O136" s="46"/>
      <c r="P136" s="46"/>
    </row>
    <row r="137" spans="1:16" x14ac:dyDescent="0.25">
      <c r="A137" t="s">
        <v>1184</v>
      </c>
      <c r="B137" t="s">
        <v>303</v>
      </c>
      <c r="C137" s="46" t="s">
        <v>1269</v>
      </c>
      <c r="D137" s="46"/>
      <c r="E137" s="46"/>
      <c r="F137" s="46"/>
      <c r="G137" s="46"/>
      <c r="H137" s="46" t="s">
        <v>1269</v>
      </c>
      <c r="I137" s="46"/>
      <c r="J137" s="46" t="s">
        <v>1269</v>
      </c>
      <c r="K137" s="46"/>
      <c r="L137" s="46" t="s">
        <v>1269</v>
      </c>
      <c r="M137" s="46" t="s">
        <v>1269</v>
      </c>
      <c r="N137" s="46"/>
      <c r="O137" s="46"/>
      <c r="P137" s="46"/>
    </row>
    <row r="138" spans="1:16" x14ac:dyDescent="0.25">
      <c r="A138" t="s">
        <v>1185</v>
      </c>
      <c r="B138" t="s">
        <v>305</v>
      </c>
      <c r="C138" s="46" t="s">
        <v>1269</v>
      </c>
      <c r="D138" s="46" t="s">
        <v>1269</v>
      </c>
      <c r="E138" s="46"/>
      <c r="F138" s="46" t="s">
        <v>1269</v>
      </c>
      <c r="G138" s="46" t="s">
        <v>1269</v>
      </c>
      <c r="H138" s="46" t="s">
        <v>1269</v>
      </c>
      <c r="I138" s="46"/>
      <c r="J138" s="46"/>
      <c r="K138" s="46"/>
      <c r="L138" s="46" t="s">
        <v>1269</v>
      </c>
      <c r="M138" s="46"/>
      <c r="N138" s="46" t="s">
        <v>1269</v>
      </c>
      <c r="O138" s="46"/>
      <c r="P138" s="46"/>
    </row>
    <row r="139" spans="1:16" x14ac:dyDescent="0.25">
      <c r="A139" t="s">
        <v>1186</v>
      </c>
      <c r="B139" t="s">
        <v>307</v>
      </c>
      <c r="C139" s="46" t="s">
        <v>1269</v>
      </c>
      <c r="D139" s="46" t="s">
        <v>1269</v>
      </c>
      <c r="E139" s="46"/>
      <c r="F139" s="46" t="s">
        <v>1269</v>
      </c>
      <c r="G139" s="46" t="s">
        <v>1269</v>
      </c>
      <c r="H139" s="46" t="s">
        <v>1269</v>
      </c>
      <c r="I139" s="46"/>
      <c r="J139" s="46"/>
      <c r="K139" s="46"/>
      <c r="L139" s="46" t="s">
        <v>1269</v>
      </c>
      <c r="M139" s="46"/>
      <c r="N139" s="46" t="s">
        <v>1269</v>
      </c>
      <c r="O139" s="46"/>
      <c r="P139" s="46"/>
    </row>
    <row r="140" spans="1:16" x14ac:dyDescent="0.25">
      <c r="A140" t="s">
        <v>1187</v>
      </c>
      <c r="B140" t="s">
        <v>309</v>
      </c>
      <c r="C140" s="46" t="s">
        <v>1269</v>
      </c>
      <c r="D140" s="46"/>
      <c r="E140" s="46"/>
      <c r="F140" s="46"/>
      <c r="G140" s="46"/>
      <c r="H140" s="46"/>
      <c r="I140" s="46"/>
      <c r="J140" s="46"/>
      <c r="K140" s="46"/>
      <c r="L140" s="46" t="s">
        <v>1269</v>
      </c>
      <c r="M140" s="46"/>
      <c r="N140" s="46"/>
      <c r="O140" s="46"/>
      <c r="P140" s="46"/>
    </row>
    <row r="141" spans="1:16" x14ac:dyDescent="0.25">
      <c r="A141" t="s">
        <v>1188</v>
      </c>
      <c r="B141" t="s">
        <v>311</v>
      </c>
      <c r="C141" s="46" t="s">
        <v>1269</v>
      </c>
      <c r="D141" s="46"/>
      <c r="E141" s="46"/>
      <c r="F141" s="46"/>
      <c r="G141" s="46"/>
      <c r="H141" s="46" t="s">
        <v>1269</v>
      </c>
      <c r="I141" s="46"/>
      <c r="J141" s="46"/>
      <c r="K141" s="46"/>
      <c r="L141" s="46" t="s">
        <v>1269</v>
      </c>
      <c r="M141" s="46"/>
      <c r="N141" s="46"/>
      <c r="O141" s="46"/>
      <c r="P141" s="46"/>
    </row>
    <row r="142" spans="1:16" x14ac:dyDescent="0.25">
      <c r="A142" t="s">
        <v>1189</v>
      </c>
      <c r="B142" t="s">
        <v>313</v>
      </c>
      <c r="C142" s="46" t="s">
        <v>1269</v>
      </c>
      <c r="D142" s="46"/>
      <c r="E142" s="46"/>
      <c r="F142" s="46"/>
      <c r="G142" s="46"/>
      <c r="H142" s="46" t="s">
        <v>1269</v>
      </c>
      <c r="I142" s="46"/>
      <c r="J142" s="46"/>
      <c r="K142" s="46"/>
      <c r="L142" s="46" t="s">
        <v>1269</v>
      </c>
      <c r="M142" s="46"/>
      <c r="N142" s="46"/>
      <c r="O142" s="46"/>
      <c r="P142" s="46"/>
    </row>
    <row r="143" spans="1:16" x14ac:dyDescent="0.25">
      <c r="A143" t="s">
        <v>1190</v>
      </c>
      <c r="B143" t="s">
        <v>315</v>
      </c>
      <c r="C143" s="46" t="s">
        <v>1269</v>
      </c>
      <c r="D143" s="46"/>
      <c r="E143" s="46"/>
      <c r="F143" s="46"/>
      <c r="G143" s="46"/>
      <c r="H143" s="46" t="s">
        <v>1269</v>
      </c>
      <c r="I143" s="46"/>
      <c r="J143" s="46"/>
      <c r="K143" s="46"/>
      <c r="L143" s="46" t="s">
        <v>1269</v>
      </c>
      <c r="M143" s="46"/>
      <c r="N143" s="46"/>
      <c r="O143" s="46"/>
      <c r="P143" s="46"/>
    </row>
    <row r="144" spans="1:16" x14ac:dyDescent="0.25">
      <c r="A144" t="s">
        <v>1191</v>
      </c>
      <c r="B144" t="s">
        <v>317</v>
      </c>
      <c r="C144" s="46" t="s">
        <v>1269</v>
      </c>
      <c r="D144" s="46" t="s">
        <v>1269</v>
      </c>
      <c r="E144" s="46" t="s">
        <v>1269</v>
      </c>
      <c r="F144" s="46"/>
      <c r="G144" s="46"/>
      <c r="H144" s="46" t="s">
        <v>1269</v>
      </c>
      <c r="I144" s="46"/>
      <c r="J144" s="46" t="s">
        <v>1269</v>
      </c>
      <c r="K144" s="46"/>
      <c r="L144" s="46" t="s">
        <v>1269</v>
      </c>
      <c r="M144" s="46" t="s">
        <v>1269</v>
      </c>
      <c r="N144" s="46"/>
      <c r="O144" s="46"/>
      <c r="P144" s="46"/>
    </row>
    <row r="145" spans="1:16" x14ac:dyDescent="0.25">
      <c r="A145" t="s">
        <v>1192</v>
      </c>
      <c r="B145" t="s">
        <v>319</v>
      </c>
      <c r="C145" s="46" t="s">
        <v>1269</v>
      </c>
      <c r="D145" s="46"/>
      <c r="E145" s="46" t="s">
        <v>1269</v>
      </c>
      <c r="F145" s="46"/>
      <c r="G145" s="46"/>
      <c r="H145" s="46"/>
      <c r="I145" s="46"/>
      <c r="J145" s="46" t="s">
        <v>1269</v>
      </c>
      <c r="K145" s="46"/>
      <c r="L145" s="46" t="s">
        <v>1269</v>
      </c>
      <c r="M145" s="46"/>
      <c r="N145" s="46"/>
      <c r="O145" s="46"/>
      <c r="P145" s="46"/>
    </row>
    <row r="146" spans="1:16" x14ac:dyDescent="0.25">
      <c r="A146" t="s">
        <v>1193</v>
      </c>
      <c r="B146" t="s">
        <v>321</v>
      </c>
      <c r="C146" s="46" t="s">
        <v>1269</v>
      </c>
      <c r="D146" s="46"/>
      <c r="E146" s="46"/>
      <c r="F146" s="46"/>
      <c r="G146" s="46"/>
      <c r="H146" s="46"/>
      <c r="I146" s="46"/>
      <c r="J146" s="46"/>
      <c r="K146" s="46"/>
      <c r="L146" s="46" t="s">
        <v>1269</v>
      </c>
      <c r="M146" s="46"/>
      <c r="N146" s="46"/>
      <c r="O146" s="46"/>
      <c r="P146" s="46"/>
    </row>
    <row r="147" spans="1:16" x14ac:dyDescent="0.25">
      <c r="A147" t="s">
        <v>1194</v>
      </c>
      <c r="B147" t="s">
        <v>323</v>
      </c>
      <c r="C147" s="46" t="s">
        <v>1269</v>
      </c>
      <c r="D147" s="46"/>
      <c r="E147" s="46" t="s">
        <v>1269</v>
      </c>
      <c r="F147" s="46"/>
      <c r="G147" s="46"/>
      <c r="H147" s="46" t="s">
        <v>1269</v>
      </c>
      <c r="I147" s="46"/>
      <c r="J147" s="46" t="s">
        <v>1269</v>
      </c>
      <c r="K147" s="46"/>
      <c r="L147" s="46" t="s">
        <v>1269</v>
      </c>
      <c r="M147" s="46" t="s">
        <v>1269</v>
      </c>
      <c r="N147" s="46"/>
      <c r="O147" s="46"/>
      <c r="P147" s="46"/>
    </row>
    <row r="148" spans="1:16" x14ac:dyDescent="0.25">
      <c r="A148" t="s">
        <v>1195</v>
      </c>
      <c r="B148" t="s">
        <v>325</v>
      </c>
      <c r="C148" s="46" t="s">
        <v>1269</v>
      </c>
      <c r="D148" s="46"/>
      <c r="E148" s="46" t="s">
        <v>1269</v>
      </c>
      <c r="F148" s="46"/>
      <c r="G148" s="46"/>
      <c r="H148" s="46" t="s">
        <v>1269</v>
      </c>
      <c r="I148" s="46"/>
      <c r="J148" s="46" t="s">
        <v>1269</v>
      </c>
      <c r="K148" s="46"/>
      <c r="L148" s="46" t="s">
        <v>1269</v>
      </c>
      <c r="M148" s="46" t="s">
        <v>1269</v>
      </c>
      <c r="N148" s="46"/>
      <c r="O148" s="46"/>
      <c r="P148" s="46"/>
    </row>
    <row r="149" spans="1:16" x14ac:dyDescent="0.25">
      <c r="A149" t="s">
        <v>1196</v>
      </c>
      <c r="B149" t="s">
        <v>1197</v>
      </c>
      <c r="C149" s="46" t="s">
        <v>1269</v>
      </c>
      <c r="D149" s="46"/>
      <c r="E149" s="46"/>
      <c r="F149" s="46" t="s">
        <v>1269</v>
      </c>
      <c r="G149" s="46"/>
      <c r="H149" s="46" t="s">
        <v>1269</v>
      </c>
      <c r="I149" s="46"/>
      <c r="J149" s="46"/>
      <c r="K149" s="46"/>
      <c r="L149" s="46" t="s">
        <v>1269</v>
      </c>
      <c r="M149" s="46"/>
      <c r="N149" s="46"/>
      <c r="O149" s="46"/>
      <c r="P149" s="46"/>
    </row>
    <row r="150" spans="1:16" x14ac:dyDescent="0.25">
      <c r="A150" t="s">
        <v>1198</v>
      </c>
      <c r="B150" t="s">
        <v>1199</v>
      </c>
      <c r="C150" s="46" t="s">
        <v>1269</v>
      </c>
      <c r="D150" s="46"/>
      <c r="E150" s="46"/>
      <c r="F150" s="46"/>
      <c r="G150" s="46"/>
      <c r="H150" s="46"/>
      <c r="I150" s="46"/>
      <c r="J150" s="46"/>
      <c r="K150" s="46"/>
      <c r="L150" s="46" t="s">
        <v>1269</v>
      </c>
      <c r="M150" s="46"/>
      <c r="N150" s="46"/>
      <c r="O150" s="46"/>
      <c r="P150" s="46"/>
    </row>
    <row r="151" spans="1:16" x14ac:dyDescent="0.25">
      <c r="A151" t="s">
        <v>1200</v>
      </c>
      <c r="B151" t="s">
        <v>327</v>
      </c>
      <c r="C151" s="46" t="s">
        <v>1269</v>
      </c>
      <c r="D151" s="46"/>
      <c r="E151" s="46" t="s">
        <v>1269</v>
      </c>
      <c r="F151" s="46"/>
      <c r="G151" s="46"/>
      <c r="H151" s="46" t="s">
        <v>1269</v>
      </c>
      <c r="I151" s="46"/>
      <c r="J151" s="46" t="s">
        <v>1269</v>
      </c>
      <c r="K151" s="46"/>
      <c r="L151" s="46" t="s">
        <v>1269</v>
      </c>
      <c r="M151" s="46" t="s">
        <v>1269</v>
      </c>
      <c r="N151" s="46"/>
      <c r="O151" s="46"/>
      <c r="P151" s="46"/>
    </row>
    <row r="152" spans="1:16" x14ac:dyDescent="0.25">
      <c r="A152" t="s">
        <v>1201</v>
      </c>
      <c r="B152" t="s">
        <v>329</v>
      </c>
      <c r="C152" s="46" t="s">
        <v>1269</v>
      </c>
      <c r="D152" s="46"/>
      <c r="E152" s="46"/>
      <c r="F152" s="46"/>
      <c r="G152" s="46"/>
      <c r="H152" s="46"/>
      <c r="I152" s="46"/>
      <c r="J152" s="46"/>
      <c r="K152" s="46"/>
      <c r="L152" s="46" t="s">
        <v>1269</v>
      </c>
      <c r="M152" s="46"/>
      <c r="N152" s="46"/>
      <c r="O152" s="46"/>
      <c r="P152" s="46"/>
    </row>
    <row r="153" spans="1:16" x14ac:dyDescent="0.25">
      <c r="A153" t="s">
        <v>1202</v>
      </c>
      <c r="B153" t="s">
        <v>331</v>
      </c>
      <c r="C153" s="46" t="s">
        <v>1269</v>
      </c>
      <c r="D153" s="46"/>
      <c r="E153" s="46"/>
      <c r="F153" s="46"/>
      <c r="G153" s="46"/>
      <c r="H153" s="46"/>
      <c r="I153" s="46"/>
      <c r="J153" s="46"/>
      <c r="K153" s="46"/>
      <c r="L153" s="46" t="s">
        <v>1269</v>
      </c>
      <c r="M153" s="46"/>
      <c r="N153" s="46"/>
      <c r="O153" s="46"/>
      <c r="P153" s="46"/>
    </row>
    <row r="154" spans="1:16" x14ac:dyDescent="0.25">
      <c r="A154" t="s">
        <v>1203</v>
      </c>
      <c r="B154" t="s">
        <v>333</v>
      </c>
      <c r="C154" s="46" t="s">
        <v>1269</v>
      </c>
      <c r="D154" s="46"/>
      <c r="E154" s="46"/>
      <c r="F154" s="46"/>
      <c r="G154" s="46"/>
      <c r="H154" s="46"/>
      <c r="I154" s="46"/>
      <c r="J154" s="46"/>
      <c r="K154" s="46"/>
      <c r="L154" s="46" t="s">
        <v>1269</v>
      </c>
      <c r="M154" s="46"/>
      <c r="N154" s="46"/>
      <c r="O154" s="46"/>
      <c r="P154" s="46"/>
    </row>
    <row r="155" spans="1:16" x14ac:dyDescent="0.25">
      <c r="A155" t="s">
        <v>1204</v>
      </c>
      <c r="B155" t="s">
        <v>335</v>
      </c>
      <c r="C155" s="46" t="s">
        <v>1269</v>
      </c>
      <c r="D155" s="46"/>
      <c r="E155" s="46" t="s">
        <v>1269</v>
      </c>
      <c r="F155" s="46"/>
      <c r="G155" s="46"/>
      <c r="H155" s="46" t="s">
        <v>1269</v>
      </c>
      <c r="I155" s="46"/>
      <c r="J155" s="46" t="s">
        <v>1269</v>
      </c>
      <c r="K155" s="46"/>
      <c r="L155" s="46" t="s">
        <v>1269</v>
      </c>
      <c r="M155" s="46" t="s">
        <v>1269</v>
      </c>
      <c r="N155" s="46"/>
      <c r="O155" s="46"/>
      <c r="P155" s="46"/>
    </row>
    <row r="156" spans="1:16" x14ac:dyDescent="0.25">
      <c r="A156" t="s">
        <v>1205</v>
      </c>
      <c r="B156" t="s">
        <v>337</v>
      </c>
      <c r="C156" s="46" t="s">
        <v>1269</v>
      </c>
      <c r="D156" s="46"/>
      <c r="E156" s="46" t="s">
        <v>1269</v>
      </c>
      <c r="F156" s="46"/>
      <c r="G156" s="46"/>
      <c r="H156" s="46" t="s">
        <v>1269</v>
      </c>
      <c r="I156" s="46"/>
      <c r="J156" s="46" t="s">
        <v>1269</v>
      </c>
      <c r="K156" s="46"/>
      <c r="L156" s="46" t="s">
        <v>1269</v>
      </c>
      <c r="M156" s="46" t="s">
        <v>1269</v>
      </c>
      <c r="N156" s="46"/>
      <c r="O156" s="46"/>
      <c r="P156" s="46"/>
    </row>
    <row r="157" spans="1:16" x14ac:dyDescent="0.25">
      <c r="A157" t="s">
        <v>1206</v>
      </c>
      <c r="B157" t="s">
        <v>339</v>
      </c>
      <c r="C157" s="46" t="s">
        <v>1269</v>
      </c>
      <c r="D157" s="46"/>
      <c r="E157" s="46" t="s">
        <v>1269</v>
      </c>
      <c r="F157" s="46"/>
      <c r="G157" s="46"/>
      <c r="H157" s="46" t="s">
        <v>1269</v>
      </c>
      <c r="I157" s="46"/>
      <c r="J157" s="46" t="s">
        <v>1269</v>
      </c>
      <c r="K157" s="46"/>
      <c r="L157" s="46" t="s">
        <v>1269</v>
      </c>
      <c r="M157" s="46" t="s">
        <v>1269</v>
      </c>
      <c r="N157" s="46"/>
      <c r="O157" s="46"/>
      <c r="P157" s="46"/>
    </row>
    <row r="158" spans="1:16" x14ac:dyDescent="0.25">
      <c r="A158" t="s">
        <v>1207</v>
      </c>
      <c r="B158" t="s">
        <v>341</v>
      </c>
      <c r="C158" s="46" t="s">
        <v>1269</v>
      </c>
      <c r="D158" s="46"/>
      <c r="E158" s="46" t="s">
        <v>1269</v>
      </c>
      <c r="F158" s="46"/>
      <c r="G158" s="46"/>
      <c r="H158" s="46" t="s">
        <v>1269</v>
      </c>
      <c r="I158" s="46"/>
      <c r="J158" s="46" t="s">
        <v>1269</v>
      </c>
      <c r="K158" s="46"/>
      <c r="L158" s="46" t="s">
        <v>1269</v>
      </c>
      <c r="M158" s="46" t="s">
        <v>1269</v>
      </c>
      <c r="N158" s="46"/>
      <c r="O158" s="46"/>
      <c r="P158" s="46"/>
    </row>
    <row r="159" spans="1:16" x14ac:dyDescent="0.25">
      <c r="A159" t="s">
        <v>1208</v>
      </c>
      <c r="B159" t="s">
        <v>343</v>
      </c>
      <c r="C159" s="46" t="s">
        <v>1269</v>
      </c>
      <c r="D159" s="46"/>
      <c r="E159" s="46" t="s">
        <v>1269</v>
      </c>
      <c r="F159" s="46"/>
      <c r="G159" s="46"/>
      <c r="H159" s="46" t="s">
        <v>1269</v>
      </c>
      <c r="I159" s="46"/>
      <c r="J159" s="46" t="s">
        <v>1269</v>
      </c>
      <c r="K159" s="46"/>
      <c r="L159" s="46" t="s">
        <v>1269</v>
      </c>
      <c r="M159" s="46" t="s">
        <v>1269</v>
      </c>
      <c r="N159" s="46"/>
      <c r="O159" s="46"/>
      <c r="P159" s="46"/>
    </row>
    <row r="160" spans="1:16" x14ac:dyDescent="0.25">
      <c r="A160" t="s">
        <v>1209</v>
      </c>
      <c r="B160" t="s">
        <v>345</v>
      </c>
      <c r="C160" s="46" t="s">
        <v>1269</v>
      </c>
      <c r="D160" s="46" t="s">
        <v>1269</v>
      </c>
      <c r="E160" s="46"/>
      <c r="F160" s="46"/>
      <c r="G160" s="46"/>
      <c r="H160" s="46" t="s">
        <v>1269</v>
      </c>
      <c r="I160" s="46"/>
      <c r="J160" s="46" t="s">
        <v>1269</v>
      </c>
      <c r="K160" s="46"/>
      <c r="L160" s="46" t="s">
        <v>1269</v>
      </c>
      <c r="M160" s="46" t="s">
        <v>1269</v>
      </c>
      <c r="N160" s="46"/>
      <c r="O160" s="46"/>
      <c r="P160" s="46"/>
    </row>
    <row r="161" spans="1:16" x14ac:dyDescent="0.25">
      <c r="A161" t="s">
        <v>1210</v>
      </c>
      <c r="B161" t="s">
        <v>347</v>
      </c>
      <c r="C161" s="46" t="s">
        <v>1269</v>
      </c>
      <c r="D161" s="46"/>
      <c r="E161" s="46"/>
      <c r="F161" s="46"/>
      <c r="G161" s="46"/>
      <c r="H161" s="46"/>
      <c r="I161" s="46"/>
      <c r="J161" s="46"/>
      <c r="K161" s="46"/>
      <c r="L161" s="46" t="s">
        <v>1269</v>
      </c>
      <c r="M161" s="46"/>
      <c r="N161" s="46"/>
      <c r="O161" s="46"/>
      <c r="P161" s="46"/>
    </row>
    <row r="162" spans="1:16" x14ac:dyDescent="0.25">
      <c r="A162" t="s">
        <v>1211</v>
      </c>
      <c r="B162" t="s">
        <v>349</v>
      </c>
      <c r="C162" s="46" t="s">
        <v>1269</v>
      </c>
      <c r="D162" s="46"/>
      <c r="E162" s="46"/>
      <c r="F162" s="46"/>
      <c r="G162" s="46"/>
      <c r="H162" s="46"/>
      <c r="I162" s="46"/>
      <c r="J162" s="46"/>
      <c r="K162" s="46"/>
      <c r="L162" s="46" t="s">
        <v>1269</v>
      </c>
      <c r="M162" s="46"/>
      <c r="N162" s="46"/>
      <c r="O162" s="46"/>
      <c r="P162" s="46"/>
    </row>
    <row r="163" spans="1:16" x14ac:dyDescent="0.25">
      <c r="A163" t="s">
        <v>1212</v>
      </c>
      <c r="B163" t="s">
        <v>351</v>
      </c>
      <c r="C163" s="46" t="s">
        <v>1269</v>
      </c>
      <c r="D163" s="46"/>
      <c r="E163" s="46"/>
      <c r="F163" s="46"/>
      <c r="G163" s="46"/>
      <c r="H163" s="46"/>
      <c r="I163" s="46"/>
      <c r="J163" s="46"/>
      <c r="K163" s="46"/>
      <c r="L163" s="46" t="s">
        <v>1269</v>
      </c>
      <c r="M163" s="46"/>
      <c r="N163" s="46"/>
      <c r="O163" s="46"/>
      <c r="P163" s="46"/>
    </row>
    <row r="164" spans="1:16" x14ac:dyDescent="0.25">
      <c r="A164" t="s">
        <v>1213</v>
      </c>
      <c r="B164" t="s">
        <v>353</v>
      </c>
      <c r="C164" s="46" t="s">
        <v>1269</v>
      </c>
      <c r="D164" s="46"/>
      <c r="E164" s="46" t="s">
        <v>1269</v>
      </c>
      <c r="F164" s="46"/>
      <c r="G164" s="46"/>
      <c r="H164" s="46"/>
      <c r="I164" s="46"/>
      <c r="J164" s="46" t="s">
        <v>1269</v>
      </c>
      <c r="K164" s="46"/>
      <c r="L164" s="46" t="s">
        <v>1269</v>
      </c>
      <c r="M164" s="46" t="s">
        <v>1269</v>
      </c>
      <c r="N164" s="46"/>
      <c r="O164" s="46"/>
      <c r="P164" s="46"/>
    </row>
    <row r="165" spans="1:16" x14ac:dyDescent="0.25">
      <c r="A165" t="s">
        <v>1214</v>
      </c>
      <c r="B165" t="s">
        <v>355</v>
      </c>
      <c r="C165" s="46" t="s">
        <v>1269</v>
      </c>
      <c r="D165" s="46"/>
      <c r="E165" s="46" t="s">
        <v>1269</v>
      </c>
      <c r="F165" s="46"/>
      <c r="G165" s="46"/>
      <c r="H165" s="46"/>
      <c r="I165" s="46"/>
      <c r="J165" s="46" t="s">
        <v>1269</v>
      </c>
      <c r="K165" s="46"/>
      <c r="L165" s="46" t="s">
        <v>1269</v>
      </c>
      <c r="M165" s="46" t="s">
        <v>1269</v>
      </c>
      <c r="N165" s="46"/>
      <c r="O165" s="46"/>
      <c r="P165" s="46"/>
    </row>
    <row r="166" spans="1:16" x14ac:dyDescent="0.25">
      <c r="A166" t="s">
        <v>1215</v>
      </c>
      <c r="B166" t="s">
        <v>357</v>
      </c>
      <c r="C166" s="46" t="s">
        <v>1269</v>
      </c>
      <c r="D166" s="46"/>
      <c r="E166" s="46" t="s">
        <v>1269</v>
      </c>
      <c r="F166" s="46"/>
      <c r="G166" s="46"/>
      <c r="H166" s="46"/>
      <c r="I166" s="46"/>
      <c r="J166" s="46" t="s">
        <v>1269</v>
      </c>
      <c r="K166" s="46"/>
      <c r="L166" s="46" t="s">
        <v>1269</v>
      </c>
      <c r="M166" s="46" t="s">
        <v>1269</v>
      </c>
      <c r="N166" s="46"/>
      <c r="O166" s="46"/>
      <c r="P166" s="46"/>
    </row>
    <row r="167" spans="1:16" x14ac:dyDescent="0.25">
      <c r="A167" t="s">
        <v>1216</v>
      </c>
      <c r="B167" t="s">
        <v>359</v>
      </c>
      <c r="C167" s="46" t="s">
        <v>1269</v>
      </c>
      <c r="D167" s="46"/>
      <c r="E167" s="46" t="s">
        <v>1269</v>
      </c>
      <c r="F167" s="46"/>
      <c r="G167" s="46"/>
      <c r="H167" s="46"/>
      <c r="I167" s="46"/>
      <c r="J167" s="46" t="s">
        <v>1269</v>
      </c>
      <c r="K167" s="46"/>
      <c r="L167" s="46" t="s">
        <v>1269</v>
      </c>
      <c r="M167" s="46" t="s">
        <v>1269</v>
      </c>
      <c r="N167" s="46"/>
      <c r="O167" s="46"/>
      <c r="P167" s="46"/>
    </row>
    <row r="168" spans="1:16" x14ac:dyDescent="0.25">
      <c r="A168" t="s">
        <v>1217</v>
      </c>
      <c r="B168" t="s">
        <v>361</v>
      </c>
      <c r="C168" s="46" t="s">
        <v>1269</v>
      </c>
      <c r="D168" s="46"/>
      <c r="E168" s="46" t="s">
        <v>1269</v>
      </c>
      <c r="F168" s="46"/>
      <c r="G168" s="46"/>
      <c r="H168" s="46"/>
      <c r="I168" s="46"/>
      <c r="J168" s="46" t="s">
        <v>1269</v>
      </c>
      <c r="K168" s="46"/>
      <c r="L168" s="46" t="s">
        <v>1269</v>
      </c>
      <c r="M168" s="46" t="s">
        <v>1269</v>
      </c>
      <c r="N168" s="46"/>
      <c r="O168" s="46"/>
      <c r="P168" s="46"/>
    </row>
    <row r="169" spans="1:16" x14ac:dyDescent="0.25">
      <c r="A169" t="s">
        <v>1218</v>
      </c>
      <c r="B169" t="s">
        <v>363</v>
      </c>
      <c r="C169" s="46" t="s">
        <v>1269</v>
      </c>
      <c r="D169" s="46"/>
      <c r="E169" s="46" t="s">
        <v>1269</v>
      </c>
      <c r="F169" s="46"/>
      <c r="G169" s="46"/>
      <c r="H169" s="46"/>
      <c r="I169" s="46"/>
      <c r="J169" s="46" t="s">
        <v>1269</v>
      </c>
      <c r="K169" s="46"/>
      <c r="L169" s="46" t="s">
        <v>1269</v>
      </c>
      <c r="M169" s="46" t="s">
        <v>1269</v>
      </c>
      <c r="N169" s="46"/>
      <c r="O169" s="46"/>
      <c r="P169" s="46"/>
    </row>
    <row r="170" spans="1:16" x14ac:dyDescent="0.25">
      <c r="A170" t="s">
        <v>1219</v>
      </c>
      <c r="B170" t="s">
        <v>455</v>
      </c>
      <c r="C170" s="46" t="s">
        <v>1269</v>
      </c>
      <c r="D170" s="46"/>
      <c r="E170" s="46" t="s">
        <v>1269</v>
      </c>
      <c r="F170" s="46" t="s">
        <v>1269</v>
      </c>
      <c r="G170" s="46"/>
      <c r="H170" s="46" t="s">
        <v>1269</v>
      </c>
      <c r="I170" s="46"/>
      <c r="J170" s="46" t="s">
        <v>1269</v>
      </c>
      <c r="K170" s="46"/>
      <c r="L170" s="46" t="s">
        <v>1269</v>
      </c>
      <c r="M170" s="46" t="s">
        <v>1269</v>
      </c>
      <c r="N170" s="46"/>
      <c r="O170" s="46"/>
      <c r="P170" s="46"/>
    </row>
    <row r="171" spans="1:16" x14ac:dyDescent="0.25">
      <c r="A171" t="s">
        <v>1220</v>
      </c>
      <c r="B171" t="s">
        <v>365</v>
      </c>
      <c r="C171" s="46" t="s">
        <v>1269</v>
      </c>
      <c r="D171" s="46"/>
      <c r="E171" s="46" t="s">
        <v>1269</v>
      </c>
      <c r="F171" s="46"/>
      <c r="G171" s="46"/>
      <c r="H171" s="46"/>
      <c r="I171" s="46"/>
      <c r="J171" s="46" t="s">
        <v>1269</v>
      </c>
      <c r="K171" s="46"/>
      <c r="L171" s="46" t="s">
        <v>1269</v>
      </c>
      <c r="M171" s="46"/>
      <c r="N171" s="46"/>
      <c r="O171" s="46"/>
      <c r="P171" s="46"/>
    </row>
    <row r="172" spans="1:16" x14ac:dyDescent="0.25">
      <c r="A172" t="s">
        <v>1221</v>
      </c>
      <c r="B172" t="s">
        <v>367</v>
      </c>
      <c r="C172" s="46" t="s">
        <v>1269</v>
      </c>
      <c r="D172" s="46"/>
      <c r="E172" s="46" t="s">
        <v>1269</v>
      </c>
      <c r="F172" s="46"/>
      <c r="G172" s="46"/>
      <c r="H172" s="46"/>
      <c r="I172" s="46"/>
      <c r="J172" s="46" t="s">
        <v>1269</v>
      </c>
      <c r="K172" s="46"/>
      <c r="L172" s="46" t="s">
        <v>1269</v>
      </c>
      <c r="M172" s="46"/>
      <c r="N172" s="46"/>
      <c r="O172" s="46"/>
      <c r="P172" s="46"/>
    </row>
    <row r="173" spans="1:16" x14ac:dyDescent="0.25">
      <c r="A173" t="s">
        <v>1222</v>
      </c>
      <c r="B173" t="s">
        <v>369</v>
      </c>
      <c r="C173" s="46" t="s">
        <v>1269</v>
      </c>
      <c r="D173" s="46"/>
      <c r="E173" s="46" t="s">
        <v>1269</v>
      </c>
      <c r="F173" s="46"/>
      <c r="G173" s="46"/>
      <c r="H173" s="46"/>
      <c r="I173" s="46"/>
      <c r="J173" s="46" t="s">
        <v>1269</v>
      </c>
      <c r="K173" s="46"/>
      <c r="L173" s="46" t="s">
        <v>1269</v>
      </c>
      <c r="M173" s="46"/>
      <c r="N173" s="46"/>
      <c r="O173" s="46"/>
      <c r="P173" s="46"/>
    </row>
    <row r="174" spans="1:16" x14ac:dyDescent="0.25">
      <c r="A174" t="s">
        <v>1223</v>
      </c>
      <c r="B174" t="s">
        <v>371</v>
      </c>
      <c r="C174" s="46" t="s">
        <v>1269</v>
      </c>
      <c r="D174" s="46" t="s">
        <v>1269</v>
      </c>
      <c r="E174" s="46" t="s">
        <v>1269</v>
      </c>
      <c r="F174" s="46"/>
      <c r="G174" s="46"/>
      <c r="H174" s="46" t="s">
        <v>1269</v>
      </c>
      <c r="I174" s="46"/>
      <c r="J174" s="46" t="s">
        <v>1269</v>
      </c>
      <c r="K174" s="46"/>
      <c r="L174" s="46" t="s">
        <v>1269</v>
      </c>
      <c r="M174" s="46" t="s">
        <v>1269</v>
      </c>
      <c r="N174" s="46"/>
      <c r="O174" s="46"/>
      <c r="P174" s="46"/>
    </row>
    <row r="175" spans="1:16" x14ac:dyDescent="0.25">
      <c r="A175" t="s">
        <v>1224</v>
      </c>
      <c r="B175" t="s">
        <v>373</v>
      </c>
      <c r="C175" s="46" t="s">
        <v>1269</v>
      </c>
      <c r="D175" s="46" t="s">
        <v>1269</v>
      </c>
      <c r="E175" s="46"/>
      <c r="F175" s="46"/>
      <c r="G175" s="46"/>
      <c r="H175" s="46" t="s">
        <v>1269</v>
      </c>
      <c r="I175" s="46"/>
      <c r="J175" s="46" t="s">
        <v>1269</v>
      </c>
      <c r="K175" s="46"/>
      <c r="L175" s="46" t="s">
        <v>1269</v>
      </c>
      <c r="M175" s="46" t="s">
        <v>1269</v>
      </c>
      <c r="N175" s="46"/>
      <c r="O175" s="46"/>
      <c r="P175" s="46"/>
    </row>
    <row r="176" spans="1:16" x14ac:dyDescent="0.25">
      <c r="A176" t="s">
        <v>1225</v>
      </c>
      <c r="B176" t="s">
        <v>375</v>
      </c>
      <c r="C176" s="46" t="s">
        <v>1269</v>
      </c>
      <c r="D176" s="46" t="s">
        <v>1269</v>
      </c>
      <c r="E176" s="46" t="s">
        <v>1269</v>
      </c>
      <c r="F176" s="46"/>
      <c r="G176" s="46"/>
      <c r="H176" s="46" t="s">
        <v>1269</v>
      </c>
      <c r="I176" s="46" t="s">
        <v>1269</v>
      </c>
      <c r="J176" s="46" t="s">
        <v>1269</v>
      </c>
      <c r="K176" s="46"/>
      <c r="L176" s="46" t="s">
        <v>1269</v>
      </c>
      <c r="M176" s="46" t="s">
        <v>1269</v>
      </c>
      <c r="N176" s="46"/>
      <c r="O176" s="46"/>
      <c r="P176" s="46"/>
    </row>
    <row r="177" spans="1:16" x14ac:dyDescent="0.25">
      <c r="A177" t="s">
        <v>1226</v>
      </c>
      <c r="B177" t="s">
        <v>377</v>
      </c>
      <c r="C177" s="46" t="s">
        <v>1269</v>
      </c>
      <c r="D177" s="46" t="s">
        <v>1269</v>
      </c>
      <c r="E177" s="46" t="s">
        <v>1269</v>
      </c>
      <c r="F177" s="46"/>
      <c r="G177" s="46"/>
      <c r="H177" s="46" t="s">
        <v>1269</v>
      </c>
      <c r="I177" s="46" t="s">
        <v>1269</v>
      </c>
      <c r="J177" s="46" t="s">
        <v>1269</v>
      </c>
      <c r="K177" s="46"/>
      <c r="L177" s="46" t="s">
        <v>1269</v>
      </c>
      <c r="M177" s="46" t="s">
        <v>1269</v>
      </c>
      <c r="N177" s="46"/>
      <c r="O177" s="46"/>
      <c r="P177" s="46"/>
    </row>
    <row r="178" spans="1:16" x14ac:dyDescent="0.25">
      <c r="A178" t="s">
        <v>1227</v>
      </c>
      <c r="B178" t="s">
        <v>379</v>
      </c>
      <c r="C178" s="46" t="s">
        <v>1269</v>
      </c>
      <c r="D178" s="46" t="s">
        <v>1269</v>
      </c>
      <c r="E178" s="46" t="s">
        <v>1269</v>
      </c>
      <c r="F178" s="46"/>
      <c r="G178" s="46"/>
      <c r="H178" s="46" t="s">
        <v>1269</v>
      </c>
      <c r="I178" s="46" t="s">
        <v>1269</v>
      </c>
      <c r="J178" s="46" t="s">
        <v>1269</v>
      </c>
      <c r="K178" s="46"/>
      <c r="L178" s="46" t="s">
        <v>1269</v>
      </c>
      <c r="M178" s="46" t="s">
        <v>1269</v>
      </c>
      <c r="N178" s="46"/>
      <c r="O178" s="46"/>
      <c r="P178" s="46"/>
    </row>
    <row r="179" spans="1:16" x14ac:dyDescent="0.25">
      <c r="A179" t="s">
        <v>1228</v>
      </c>
      <c r="B179" t="s">
        <v>1229</v>
      </c>
      <c r="C179" s="46" t="s">
        <v>1269</v>
      </c>
      <c r="D179" s="46"/>
      <c r="E179" s="46" t="s">
        <v>1269</v>
      </c>
      <c r="F179" s="46"/>
      <c r="G179" s="46"/>
      <c r="H179" s="46" t="s">
        <v>1269</v>
      </c>
      <c r="I179" s="46"/>
      <c r="J179" s="46" t="s">
        <v>1269</v>
      </c>
      <c r="K179" s="46"/>
      <c r="L179" s="46" t="s">
        <v>1269</v>
      </c>
      <c r="M179" s="46" t="s">
        <v>1269</v>
      </c>
      <c r="N179" s="46"/>
      <c r="O179" s="46"/>
      <c r="P179" s="46"/>
    </row>
    <row r="180" spans="1:16" x14ac:dyDescent="0.25">
      <c r="A180" t="s">
        <v>1230</v>
      </c>
      <c r="B180" t="s">
        <v>1231</v>
      </c>
      <c r="C180" s="46" t="s">
        <v>1269</v>
      </c>
      <c r="D180" s="46"/>
      <c r="E180" s="46"/>
      <c r="F180" s="46"/>
      <c r="G180" s="46"/>
      <c r="H180" s="46"/>
      <c r="I180" s="46"/>
      <c r="J180" s="46"/>
      <c r="K180" s="46"/>
      <c r="L180" s="46" t="s">
        <v>1269</v>
      </c>
      <c r="M180" s="46"/>
      <c r="N180" s="46"/>
      <c r="O180" s="46"/>
      <c r="P180" s="46"/>
    </row>
    <row r="181" spans="1:16" x14ac:dyDescent="0.25">
      <c r="A181" t="s">
        <v>1232</v>
      </c>
      <c r="B181" t="s">
        <v>385</v>
      </c>
      <c r="C181" s="46" t="s">
        <v>1269</v>
      </c>
      <c r="D181" s="46"/>
      <c r="E181" s="46"/>
      <c r="F181" s="46"/>
      <c r="G181" s="46"/>
      <c r="H181" s="46"/>
      <c r="I181" s="46"/>
      <c r="J181" s="46"/>
      <c r="K181" s="46"/>
      <c r="L181" s="46" t="s">
        <v>1269</v>
      </c>
      <c r="M181" s="46"/>
      <c r="N181" s="46"/>
      <c r="O181" s="46"/>
      <c r="P181" s="46"/>
    </row>
    <row r="182" spans="1:16" x14ac:dyDescent="0.25">
      <c r="A182" t="s">
        <v>1233</v>
      </c>
      <c r="B182" t="s">
        <v>387</v>
      </c>
      <c r="C182" s="46" t="s">
        <v>1269</v>
      </c>
      <c r="D182" s="46"/>
      <c r="E182" s="46"/>
      <c r="F182" s="46"/>
      <c r="G182" s="46"/>
      <c r="H182" s="46"/>
      <c r="I182" s="46"/>
      <c r="J182" s="46"/>
      <c r="K182" s="46"/>
      <c r="L182" s="46" t="s">
        <v>1269</v>
      </c>
      <c r="M182" s="46"/>
      <c r="N182" s="46"/>
      <c r="O182" s="46"/>
      <c r="P182" s="46"/>
    </row>
    <row r="183" spans="1:16" x14ac:dyDescent="0.25">
      <c r="A183" t="s">
        <v>1234</v>
      </c>
      <c r="B183" t="s">
        <v>389</v>
      </c>
      <c r="C183" s="46" t="s">
        <v>1269</v>
      </c>
      <c r="D183" s="46"/>
      <c r="E183" s="46" t="s">
        <v>1269</v>
      </c>
      <c r="F183" s="46"/>
      <c r="G183" s="46"/>
      <c r="H183" s="46"/>
      <c r="I183" s="46"/>
      <c r="J183" s="46"/>
      <c r="K183" s="46"/>
      <c r="L183" s="46" t="s">
        <v>1269</v>
      </c>
      <c r="M183" s="46"/>
      <c r="N183" s="46"/>
      <c r="O183" s="46"/>
      <c r="P183" s="46"/>
    </row>
    <row r="184" spans="1:16" x14ac:dyDescent="0.25">
      <c r="A184" t="s">
        <v>1235</v>
      </c>
      <c r="B184" t="s">
        <v>391</v>
      </c>
      <c r="C184" s="46" t="s">
        <v>1269</v>
      </c>
      <c r="D184" s="46"/>
      <c r="E184" s="46" t="s">
        <v>1269</v>
      </c>
      <c r="F184" s="46"/>
      <c r="G184" s="46"/>
      <c r="H184" s="46"/>
      <c r="I184" s="46"/>
      <c r="J184" s="46"/>
      <c r="K184" s="46"/>
      <c r="L184" s="46" t="s">
        <v>1269</v>
      </c>
      <c r="M184" s="46"/>
      <c r="N184" s="46"/>
      <c r="O184" s="46"/>
      <c r="P184" s="46"/>
    </row>
    <row r="185" spans="1:16" x14ac:dyDescent="0.25">
      <c r="A185" t="s">
        <v>1236</v>
      </c>
      <c r="B185" t="s">
        <v>393</v>
      </c>
      <c r="C185" s="46" t="s">
        <v>1269</v>
      </c>
      <c r="D185" s="46"/>
      <c r="E185" s="46" t="s">
        <v>1269</v>
      </c>
      <c r="F185" s="46"/>
      <c r="G185" s="46"/>
      <c r="H185" s="46"/>
      <c r="I185" s="46"/>
      <c r="J185" s="46"/>
      <c r="K185" s="46"/>
      <c r="L185" s="46" t="s">
        <v>1269</v>
      </c>
      <c r="M185" s="46"/>
      <c r="N185" s="46"/>
      <c r="O185" s="46"/>
      <c r="P185" s="46"/>
    </row>
    <row r="186" spans="1:16" x14ac:dyDescent="0.25">
      <c r="A186" t="s">
        <v>1237</v>
      </c>
      <c r="B186" t="s">
        <v>395</v>
      </c>
      <c r="C186" s="46" t="s">
        <v>1269</v>
      </c>
      <c r="D186" s="46"/>
      <c r="E186" s="46" t="s">
        <v>1269</v>
      </c>
      <c r="F186" s="46"/>
      <c r="G186" s="46"/>
      <c r="H186" s="46"/>
      <c r="I186" s="46"/>
      <c r="J186" s="46"/>
      <c r="K186" s="46"/>
      <c r="L186" s="46" t="s">
        <v>1269</v>
      </c>
      <c r="M186" s="46"/>
      <c r="N186" s="46"/>
      <c r="O186" s="46"/>
      <c r="P186" s="46"/>
    </row>
    <row r="187" spans="1:16" x14ac:dyDescent="0.25">
      <c r="A187" t="s">
        <v>1238</v>
      </c>
      <c r="B187" t="s">
        <v>397</v>
      </c>
      <c r="C187" s="46" t="s">
        <v>1269</v>
      </c>
      <c r="D187" s="46"/>
      <c r="E187" s="46"/>
      <c r="F187" s="46"/>
      <c r="G187" s="46"/>
      <c r="H187" s="46"/>
      <c r="I187" s="46"/>
      <c r="J187" s="46"/>
      <c r="K187" s="46"/>
      <c r="L187" s="46" t="s">
        <v>1269</v>
      </c>
      <c r="M187" s="46"/>
      <c r="N187" s="46"/>
      <c r="O187" s="46"/>
      <c r="P187" s="46"/>
    </row>
    <row r="188" spans="1:16" x14ac:dyDescent="0.25">
      <c r="A188" t="s">
        <v>1239</v>
      </c>
      <c r="B188" t="s">
        <v>399</v>
      </c>
      <c r="C188" s="46" t="s">
        <v>1269</v>
      </c>
      <c r="D188" s="46" t="s">
        <v>1269</v>
      </c>
      <c r="E188" s="46"/>
      <c r="F188" s="46"/>
      <c r="G188" s="46"/>
      <c r="H188" s="46" t="s">
        <v>1269</v>
      </c>
      <c r="I188" s="46"/>
      <c r="J188" s="46"/>
      <c r="K188" s="46"/>
      <c r="L188" s="46" t="s">
        <v>1269</v>
      </c>
      <c r="M188" s="46"/>
      <c r="N188" s="46"/>
      <c r="O188" s="46"/>
      <c r="P188" s="46"/>
    </row>
    <row r="189" spans="1:16" x14ac:dyDescent="0.25">
      <c r="A189" t="s">
        <v>1240</v>
      </c>
      <c r="B189" t="s">
        <v>401</v>
      </c>
      <c r="C189" s="46" t="s">
        <v>1269</v>
      </c>
      <c r="D189" s="46" t="s">
        <v>1269</v>
      </c>
      <c r="E189" s="46"/>
      <c r="F189" s="46"/>
      <c r="G189" s="46"/>
      <c r="H189" s="46" t="s">
        <v>1269</v>
      </c>
      <c r="I189" s="46"/>
      <c r="J189" s="46"/>
      <c r="K189" s="46"/>
      <c r="L189" s="46" t="s">
        <v>1269</v>
      </c>
      <c r="M189" s="46"/>
      <c r="N189" s="46"/>
      <c r="O189" s="46"/>
      <c r="P189" s="46"/>
    </row>
    <row r="190" spans="1:16" x14ac:dyDescent="0.25">
      <c r="A190" t="s">
        <v>1241</v>
      </c>
      <c r="B190" t="s">
        <v>403</v>
      </c>
      <c r="C190" s="46" t="s">
        <v>1269</v>
      </c>
      <c r="D190" s="46"/>
      <c r="E190" s="46"/>
      <c r="F190" s="46"/>
      <c r="G190" s="46"/>
      <c r="H190" s="46" t="s">
        <v>1269</v>
      </c>
      <c r="I190" s="46"/>
      <c r="J190" s="46"/>
      <c r="K190" s="46" t="s">
        <v>1269</v>
      </c>
      <c r="L190" s="46" t="s">
        <v>1269</v>
      </c>
      <c r="M190" s="46"/>
      <c r="N190" s="46"/>
      <c r="O190" s="46"/>
      <c r="P190" s="46"/>
    </row>
    <row r="191" spans="1:16" x14ac:dyDescent="0.25">
      <c r="A191" t="s">
        <v>1242</v>
      </c>
      <c r="B191" t="s">
        <v>405</v>
      </c>
      <c r="C191" s="46" t="s">
        <v>1269</v>
      </c>
      <c r="D191" s="46"/>
      <c r="E191" s="46"/>
      <c r="F191" s="46"/>
      <c r="G191" s="46"/>
      <c r="H191" s="46" t="s">
        <v>1269</v>
      </c>
      <c r="I191" s="46" t="s">
        <v>1269</v>
      </c>
      <c r="J191" s="46"/>
      <c r="K191" s="46"/>
      <c r="L191" s="46" t="s">
        <v>1269</v>
      </c>
      <c r="M191" s="46"/>
      <c r="N191" s="46"/>
      <c r="O191" s="46"/>
      <c r="P191" s="46"/>
    </row>
    <row r="192" spans="1:16" x14ac:dyDescent="0.25">
      <c r="A192" t="s">
        <v>1243</v>
      </c>
      <c r="B192" t="s">
        <v>407</v>
      </c>
      <c r="C192" s="46" t="s">
        <v>1269</v>
      </c>
      <c r="D192" s="46" t="s">
        <v>1269</v>
      </c>
      <c r="E192" s="46"/>
      <c r="F192" s="46"/>
      <c r="G192" s="46"/>
      <c r="H192" s="46" t="s">
        <v>1269</v>
      </c>
      <c r="I192" s="46"/>
      <c r="J192" s="46"/>
      <c r="K192" s="46"/>
      <c r="L192" s="46" t="s">
        <v>1269</v>
      </c>
      <c r="M192" s="46"/>
      <c r="N192" s="46"/>
      <c r="O192" s="46"/>
      <c r="P192" s="46"/>
    </row>
    <row r="193" spans="1:16" x14ac:dyDescent="0.25">
      <c r="A193" t="s">
        <v>1244</v>
      </c>
      <c r="B193" t="s">
        <v>409</v>
      </c>
      <c r="C193" s="46" t="s">
        <v>1269</v>
      </c>
      <c r="D193" s="46" t="s">
        <v>1269</v>
      </c>
      <c r="E193" s="46"/>
      <c r="F193" s="46"/>
      <c r="G193" s="46"/>
      <c r="H193" s="46" t="s">
        <v>1269</v>
      </c>
      <c r="I193" s="46"/>
      <c r="J193" s="46"/>
      <c r="K193" s="46"/>
      <c r="L193" s="46" t="s">
        <v>1269</v>
      </c>
      <c r="M193" s="46"/>
      <c r="N193" s="46"/>
      <c r="O193" s="46"/>
      <c r="P193" s="46"/>
    </row>
    <row r="194" spans="1:16" x14ac:dyDescent="0.25">
      <c r="A194" t="s">
        <v>1245</v>
      </c>
      <c r="B194" t="s">
        <v>411</v>
      </c>
      <c r="C194" s="46" t="s">
        <v>1269</v>
      </c>
      <c r="D194" s="46"/>
      <c r="E194" s="46"/>
      <c r="F194" s="46"/>
      <c r="G194" s="46"/>
      <c r="H194" s="46" t="s">
        <v>1269</v>
      </c>
      <c r="I194" s="46" t="s">
        <v>1269</v>
      </c>
      <c r="J194" s="46"/>
      <c r="K194" s="46"/>
      <c r="L194" s="46" t="s">
        <v>1269</v>
      </c>
      <c r="M194" s="46"/>
      <c r="N194" s="46"/>
      <c r="O194" s="46"/>
      <c r="P194" s="46"/>
    </row>
    <row r="195" spans="1:16" x14ac:dyDescent="0.25">
      <c r="A195" t="s">
        <v>1246</v>
      </c>
      <c r="B195" t="s">
        <v>413</v>
      </c>
      <c r="C195" s="46" t="s">
        <v>1269</v>
      </c>
      <c r="D195" s="46"/>
      <c r="E195" s="46"/>
      <c r="F195" s="46" t="s">
        <v>1269</v>
      </c>
      <c r="G195" s="46"/>
      <c r="H195" s="46" t="s">
        <v>1269</v>
      </c>
      <c r="I195" s="46"/>
      <c r="J195" s="46"/>
      <c r="K195" s="46"/>
      <c r="L195" s="46" t="s">
        <v>1269</v>
      </c>
      <c r="M195" s="46"/>
      <c r="N195" s="46"/>
      <c r="O195" s="46"/>
      <c r="P195" s="46"/>
    </row>
    <row r="196" spans="1:16" x14ac:dyDescent="0.25">
      <c r="A196" t="s">
        <v>1247</v>
      </c>
      <c r="B196" t="s">
        <v>415</v>
      </c>
      <c r="C196" s="46" t="s">
        <v>1269</v>
      </c>
      <c r="D196" s="46"/>
      <c r="E196" s="46"/>
      <c r="F196" s="46" t="s">
        <v>1269</v>
      </c>
      <c r="G196" s="46"/>
      <c r="H196" s="46" t="s">
        <v>1269</v>
      </c>
      <c r="I196" s="46"/>
      <c r="J196" s="46"/>
      <c r="K196" s="46"/>
      <c r="L196" s="46" t="s">
        <v>1269</v>
      </c>
      <c r="M196" s="46"/>
      <c r="N196" s="46"/>
      <c r="O196" s="46"/>
      <c r="P196" s="46"/>
    </row>
    <row r="197" spans="1:16" x14ac:dyDescent="0.25">
      <c r="A197" t="s">
        <v>1248</v>
      </c>
      <c r="B197" t="s">
        <v>417</v>
      </c>
      <c r="C197" s="46" t="s">
        <v>1269</v>
      </c>
      <c r="D197" s="46"/>
      <c r="E197" s="46"/>
      <c r="F197" s="46" t="s">
        <v>1269</v>
      </c>
      <c r="G197" s="46"/>
      <c r="H197" s="46" t="s">
        <v>1269</v>
      </c>
      <c r="I197" s="46"/>
      <c r="J197" s="46"/>
      <c r="K197" s="46"/>
      <c r="L197" s="46" t="s">
        <v>1269</v>
      </c>
      <c r="M197" s="46"/>
      <c r="N197" s="46"/>
      <c r="O197" s="46"/>
      <c r="P197" s="46"/>
    </row>
    <row r="198" spans="1:16" x14ac:dyDescent="0.25">
      <c r="A198" t="s">
        <v>1249</v>
      </c>
      <c r="B198" t="s">
        <v>419</v>
      </c>
      <c r="C198" s="46" t="s">
        <v>1269</v>
      </c>
      <c r="D198" s="46"/>
      <c r="E198" s="46"/>
      <c r="F198" s="46" t="s">
        <v>1269</v>
      </c>
      <c r="G198" s="46"/>
      <c r="H198" s="46" t="s">
        <v>1269</v>
      </c>
      <c r="I198" s="46"/>
      <c r="J198" s="46" t="s">
        <v>1269</v>
      </c>
      <c r="K198" s="46"/>
      <c r="L198" s="46" t="s">
        <v>1269</v>
      </c>
      <c r="M198" s="46" t="s">
        <v>1269</v>
      </c>
      <c r="N198" s="46"/>
      <c r="O198" s="46"/>
      <c r="P198" s="46"/>
    </row>
    <row r="199" spans="1:16" x14ac:dyDescent="0.25">
      <c r="A199" t="s">
        <v>1250</v>
      </c>
      <c r="B199" t="s">
        <v>421</v>
      </c>
      <c r="C199" s="46" t="s">
        <v>1269</v>
      </c>
      <c r="D199" s="46"/>
      <c r="E199" s="46"/>
      <c r="F199" s="46" t="s">
        <v>1269</v>
      </c>
      <c r="G199" s="46"/>
      <c r="H199" s="46" t="s">
        <v>1269</v>
      </c>
      <c r="I199" s="46"/>
      <c r="J199" s="46"/>
      <c r="K199" s="46"/>
      <c r="L199" s="46" t="s">
        <v>1269</v>
      </c>
      <c r="M199" s="46"/>
      <c r="N199" s="46"/>
      <c r="O199" s="46"/>
      <c r="P199" s="46"/>
    </row>
    <row r="200" spans="1:16" x14ac:dyDescent="0.25">
      <c r="A200" t="s">
        <v>1251</v>
      </c>
      <c r="B200" t="s">
        <v>423</v>
      </c>
      <c r="C200" s="46" t="s">
        <v>1269</v>
      </c>
      <c r="D200" s="46"/>
      <c r="E200" s="46"/>
      <c r="F200" s="46"/>
      <c r="G200" s="46" t="s">
        <v>1269</v>
      </c>
      <c r="H200" s="46" t="s">
        <v>1269</v>
      </c>
      <c r="I200" s="46"/>
      <c r="J200" s="46"/>
      <c r="K200" s="46"/>
      <c r="L200" s="46" t="s">
        <v>1269</v>
      </c>
      <c r="M200" s="46"/>
      <c r="N200" s="46"/>
      <c r="O200" s="46"/>
      <c r="P200" s="46"/>
    </row>
    <row r="201" spans="1:16" x14ac:dyDescent="0.25">
      <c r="A201" t="s">
        <v>1252</v>
      </c>
      <c r="B201" t="s">
        <v>425</v>
      </c>
      <c r="C201" s="46" t="s">
        <v>1269</v>
      </c>
      <c r="D201" s="46"/>
      <c r="E201" s="46"/>
      <c r="F201" s="46"/>
      <c r="G201" s="46" t="s">
        <v>1269</v>
      </c>
      <c r="H201" s="46" t="s">
        <v>1269</v>
      </c>
      <c r="I201" s="46"/>
      <c r="J201" s="46"/>
      <c r="K201" s="46"/>
      <c r="L201" s="46" t="s">
        <v>1269</v>
      </c>
      <c r="M201" s="46"/>
      <c r="N201" s="46"/>
      <c r="O201" s="46"/>
      <c r="P201" s="46"/>
    </row>
    <row r="202" spans="1:16" x14ac:dyDescent="0.25">
      <c r="A202" t="s">
        <v>1253</v>
      </c>
      <c r="B202" t="s">
        <v>427</v>
      </c>
      <c r="C202" s="46" t="s">
        <v>1269</v>
      </c>
      <c r="D202" s="46" t="s">
        <v>1269</v>
      </c>
      <c r="E202" s="46"/>
      <c r="F202" s="46"/>
      <c r="G202" s="46"/>
      <c r="H202" s="46" t="s">
        <v>1269</v>
      </c>
      <c r="I202" s="46"/>
      <c r="J202" s="46"/>
      <c r="K202" s="46"/>
      <c r="L202" s="46" t="s">
        <v>1269</v>
      </c>
      <c r="M202" s="46"/>
      <c r="N202" s="46"/>
      <c r="O202" s="46"/>
      <c r="P202" s="46"/>
    </row>
    <row r="203" spans="1:16" x14ac:dyDescent="0.25">
      <c r="A203" t="s">
        <v>1254</v>
      </c>
      <c r="B203" t="s">
        <v>429</v>
      </c>
      <c r="C203" s="46" t="s">
        <v>1269</v>
      </c>
      <c r="D203" s="46" t="s">
        <v>1269</v>
      </c>
      <c r="E203" s="46"/>
      <c r="F203" s="46"/>
      <c r="G203" s="46"/>
      <c r="H203" s="46" t="s">
        <v>1269</v>
      </c>
      <c r="I203" s="46"/>
      <c r="J203" s="46"/>
      <c r="K203" s="46"/>
      <c r="L203" s="46" t="s">
        <v>1269</v>
      </c>
      <c r="M203" s="46"/>
      <c r="N203" s="46"/>
      <c r="O203" s="46"/>
      <c r="P203" s="46"/>
    </row>
    <row r="204" spans="1:16" x14ac:dyDescent="0.25">
      <c r="A204" t="s">
        <v>1255</v>
      </c>
      <c r="B204" t="s">
        <v>431</v>
      </c>
      <c r="C204" s="46" t="s">
        <v>1269</v>
      </c>
      <c r="D204" s="46" t="s">
        <v>1269</v>
      </c>
      <c r="E204" s="46"/>
      <c r="F204" s="46"/>
      <c r="G204" s="46"/>
      <c r="H204" s="46" t="s">
        <v>1269</v>
      </c>
      <c r="I204" s="46"/>
      <c r="J204" s="46"/>
      <c r="K204" s="46"/>
      <c r="L204" s="46" t="s">
        <v>1269</v>
      </c>
      <c r="M204" s="46"/>
      <c r="N204" s="46"/>
      <c r="O204" s="46"/>
      <c r="P204" s="46"/>
    </row>
    <row r="205" spans="1:16" x14ac:dyDescent="0.25">
      <c r="A205" t="s">
        <v>1256</v>
      </c>
      <c r="B205" t="s">
        <v>433</v>
      </c>
      <c r="C205" s="46" t="s">
        <v>1269</v>
      </c>
      <c r="D205" s="46" t="s">
        <v>1269</v>
      </c>
      <c r="E205" s="46" t="s">
        <v>1269</v>
      </c>
      <c r="F205" s="46"/>
      <c r="G205" s="46"/>
      <c r="H205" s="46" t="s">
        <v>1269</v>
      </c>
      <c r="I205" s="46"/>
      <c r="J205" s="46" t="s">
        <v>1269</v>
      </c>
      <c r="K205" s="46"/>
      <c r="L205" s="46" t="s">
        <v>1269</v>
      </c>
      <c r="M205" s="46" t="s">
        <v>1269</v>
      </c>
      <c r="N205" s="46"/>
      <c r="O205" s="46"/>
      <c r="P205" s="46"/>
    </row>
    <row r="206" spans="1:16" x14ac:dyDescent="0.25">
      <c r="A206" t="s">
        <v>1257</v>
      </c>
      <c r="B206" t="s">
        <v>435</v>
      </c>
      <c r="C206" s="46" t="s">
        <v>1269</v>
      </c>
      <c r="D206" s="46" t="s">
        <v>1269</v>
      </c>
      <c r="E206" s="46"/>
      <c r="F206" s="46"/>
      <c r="G206" s="46"/>
      <c r="H206" s="46" t="s">
        <v>1269</v>
      </c>
      <c r="I206" s="46"/>
      <c r="J206" s="46"/>
      <c r="K206" s="46"/>
      <c r="L206" s="46" t="s">
        <v>1269</v>
      </c>
      <c r="M206" s="46"/>
      <c r="N206" s="46"/>
      <c r="O206" s="46"/>
      <c r="P206" s="46"/>
    </row>
    <row r="207" spans="1:16" x14ac:dyDescent="0.25">
      <c r="A207" t="s">
        <v>1258</v>
      </c>
      <c r="B207" t="s">
        <v>437</v>
      </c>
      <c r="C207" s="46" t="s">
        <v>1269</v>
      </c>
      <c r="D207" s="46" t="s">
        <v>1269</v>
      </c>
      <c r="E207" s="46"/>
      <c r="F207" s="46"/>
      <c r="G207" s="46"/>
      <c r="H207" s="46" t="s">
        <v>1269</v>
      </c>
      <c r="I207" s="46"/>
      <c r="J207" s="46"/>
      <c r="K207" s="46"/>
      <c r="L207" s="46" t="s">
        <v>1269</v>
      </c>
      <c r="M207" s="46"/>
      <c r="N207" s="46"/>
      <c r="O207" s="46"/>
      <c r="P207" s="46"/>
    </row>
    <row r="208" spans="1:16" x14ac:dyDescent="0.25">
      <c r="A208" t="s">
        <v>1259</v>
      </c>
      <c r="B208" t="s">
        <v>439</v>
      </c>
      <c r="C208" s="46" t="s">
        <v>1269</v>
      </c>
      <c r="D208" s="46" t="s">
        <v>1269</v>
      </c>
      <c r="E208" s="46"/>
      <c r="F208" s="46"/>
      <c r="G208" s="46"/>
      <c r="H208" s="46" t="s">
        <v>1269</v>
      </c>
      <c r="I208" s="46"/>
      <c r="J208" s="46"/>
      <c r="K208" s="46"/>
      <c r="L208" s="46" t="s">
        <v>1269</v>
      </c>
      <c r="M208" s="46"/>
      <c r="N208" s="46"/>
      <c r="O208" s="46"/>
      <c r="P208" s="46"/>
    </row>
    <row r="209" spans="1:16" x14ac:dyDescent="0.25">
      <c r="A209" t="s">
        <v>1260</v>
      </c>
      <c r="B209" t="s">
        <v>441</v>
      </c>
      <c r="C209" s="46" t="s">
        <v>1269</v>
      </c>
      <c r="D209" s="46"/>
      <c r="E209" s="46"/>
      <c r="F209" s="46"/>
      <c r="G209" s="46"/>
      <c r="H209" s="46" t="s">
        <v>1269</v>
      </c>
      <c r="I209" s="46" t="s">
        <v>1269</v>
      </c>
      <c r="J209" s="46"/>
      <c r="K209" s="46"/>
      <c r="L209" s="46" t="s">
        <v>1269</v>
      </c>
      <c r="M209" s="46"/>
      <c r="N209" s="46"/>
      <c r="O209" s="46"/>
      <c r="P209" s="46"/>
    </row>
    <row r="210" spans="1:16" x14ac:dyDescent="0.25">
      <c r="A210" t="s">
        <v>1261</v>
      </c>
      <c r="B210" t="s">
        <v>443</v>
      </c>
      <c r="C210" s="46" t="s">
        <v>1269</v>
      </c>
      <c r="D210" s="46" t="s">
        <v>1269</v>
      </c>
      <c r="E210" s="46"/>
      <c r="F210" s="46"/>
      <c r="G210" s="46"/>
      <c r="H210" s="46" t="s">
        <v>1269</v>
      </c>
      <c r="I210" s="46"/>
      <c r="J210" s="46"/>
      <c r="K210" s="46"/>
      <c r="L210" s="46" t="s">
        <v>1269</v>
      </c>
      <c r="M210" s="46"/>
      <c r="N210" s="46"/>
      <c r="O210" s="46"/>
      <c r="P210" s="46"/>
    </row>
    <row r="211" spans="1:16" x14ac:dyDescent="0.25">
      <c r="A211" t="s">
        <v>1262</v>
      </c>
      <c r="B211" t="s">
        <v>445</v>
      </c>
      <c r="C211" s="46" t="s">
        <v>1269</v>
      </c>
      <c r="D211" s="46"/>
      <c r="E211" s="46"/>
      <c r="F211" s="46" t="s">
        <v>1269</v>
      </c>
      <c r="G211" s="46"/>
      <c r="H211" s="46" t="s">
        <v>1269</v>
      </c>
      <c r="I211" s="46"/>
      <c r="J211" s="46" t="s">
        <v>1269</v>
      </c>
      <c r="K211" s="46"/>
      <c r="L211" s="46" t="s">
        <v>1269</v>
      </c>
      <c r="M211" s="46" t="s">
        <v>1269</v>
      </c>
      <c r="N211" s="46"/>
      <c r="O211" s="46"/>
      <c r="P211" s="46"/>
    </row>
    <row r="212" spans="1:16" x14ac:dyDescent="0.25">
      <c r="A212" t="s">
        <v>1263</v>
      </c>
      <c r="B212" t="s">
        <v>447</v>
      </c>
      <c r="C212" s="46" t="s">
        <v>1269</v>
      </c>
      <c r="D212" s="46"/>
      <c r="E212" s="46"/>
      <c r="F212" s="46"/>
      <c r="G212" s="46" t="s">
        <v>1269</v>
      </c>
      <c r="H212" s="46" t="s">
        <v>1269</v>
      </c>
      <c r="I212" s="46"/>
      <c r="J212" s="46"/>
      <c r="K212" s="46"/>
      <c r="L212" s="46" t="s">
        <v>1269</v>
      </c>
      <c r="M212" s="46"/>
      <c r="N212" s="46"/>
      <c r="O212" s="46"/>
      <c r="P212" s="46"/>
    </row>
    <row r="213" spans="1:16" x14ac:dyDescent="0.25">
      <c r="A213" t="s">
        <v>1264</v>
      </c>
      <c r="B213" t="s">
        <v>449</v>
      </c>
      <c r="C213" s="46" t="s">
        <v>1269</v>
      </c>
      <c r="D213" s="46"/>
      <c r="E213" s="46" t="s">
        <v>1269</v>
      </c>
      <c r="F213" s="46"/>
      <c r="G213" s="46"/>
      <c r="H213" s="46"/>
      <c r="I213" s="46"/>
      <c r="J213" s="46" t="s">
        <v>1269</v>
      </c>
      <c r="K213" s="46"/>
      <c r="L213" s="46" t="s">
        <v>1269</v>
      </c>
      <c r="M213" s="46"/>
      <c r="N213" s="46"/>
      <c r="O213" s="46"/>
      <c r="P213" s="46"/>
    </row>
    <row r="214" spans="1:16" x14ac:dyDescent="0.25">
      <c r="A214" t="s">
        <v>1265</v>
      </c>
      <c r="B214" t="s">
        <v>451</v>
      </c>
      <c r="C214" s="46" t="s">
        <v>1269</v>
      </c>
      <c r="D214" s="46"/>
      <c r="E214" s="46"/>
      <c r="F214" s="46"/>
      <c r="G214" s="46"/>
      <c r="H214" s="46" t="s">
        <v>1269</v>
      </c>
      <c r="I214" s="46"/>
      <c r="J214" s="46"/>
      <c r="K214" s="46"/>
      <c r="L214" s="46" t="s">
        <v>1269</v>
      </c>
      <c r="M214" s="46"/>
      <c r="N214" s="46"/>
      <c r="O214" s="46"/>
      <c r="P214" s="46"/>
    </row>
    <row r="215" spans="1:16" x14ac:dyDescent="0.25">
      <c r="A215" t="s">
        <v>1266</v>
      </c>
      <c r="B215" t="s">
        <v>453</v>
      </c>
      <c r="C215" s="46" t="s">
        <v>1269</v>
      </c>
      <c r="D215" s="46"/>
      <c r="E215" s="46" t="s">
        <v>1269</v>
      </c>
      <c r="F215" s="46"/>
      <c r="G215" s="46"/>
      <c r="H215" s="46"/>
      <c r="I215" s="46"/>
      <c r="J215" s="46" t="s">
        <v>1269</v>
      </c>
      <c r="K215" s="46"/>
      <c r="L215" s="46" t="s">
        <v>1269</v>
      </c>
      <c r="M215" s="46"/>
      <c r="N215" s="46"/>
      <c r="O215" s="46"/>
      <c r="P215" s="46"/>
    </row>
    <row r="216" spans="1:16" x14ac:dyDescent="0.25">
      <c r="A216" t="s">
        <v>1267</v>
      </c>
      <c r="B216" t="s">
        <v>457</v>
      </c>
      <c r="C216" s="46" t="s">
        <v>1269</v>
      </c>
      <c r="D216" s="46"/>
      <c r="E216" s="46"/>
      <c r="F216" s="46"/>
      <c r="G216" s="46"/>
      <c r="H216" s="46"/>
      <c r="I216" s="46"/>
      <c r="J216" s="46"/>
      <c r="K216" s="46"/>
      <c r="L216" s="46" t="s">
        <v>1269</v>
      </c>
      <c r="M216" s="46"/>
      <c r="N216" s="46"/>
      <c r="O216" s="46"/>
      <c r="P216" s="46"/>
    </row>
    <row r="217" spans="1:16" x14ac:dyDescent="0.25">
      <c r="A217" t="s">
        <v>1268</v>
      </c>
      <c r="B217" t="s">
        <v>459</v>
      </c>
      <c r="C217" s="46" t="s">
        <v>1269</v>
      </c>
      <c r="D217" s="46"/>
      <c r="E217" s="46"/>
      <c r="F217" s="46"/>
      <c r="G217" s="46"/>
      <c r="H217" s="46"/>
      <c r="I217" s="46"/>
      <c r="J217" s="46"/>
      <c r="K217" s="46"/>
      <c r="L217" s="46" t="s">
        <v>1269</v>
      </c>
      <c r="M217" s="46"/>
      <c r="N217" s="46"/>
      <c r="O217" s="46"/>
      <c r="P217" s="46"/>
    </row>
  </sheetData>
  <sheetProtection sheet="1" objects="1" scenarios="1"/>
  <pageMargins left="0.7" right="0.7" top="0.75" bottom="0.75" header="0.3" footer="0.3"/>
  <tableParts count="1">
    <tablePart r:id="rId1"/>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0" tint="-0.14999847407452621"/>
  </sheetPr>
  <dimension ref="A1:AV213"/>
  <sheetViews>
    <sheetView showGridLines="0" workbookViewId="0">
      <selection activeCell="G18" sqref="G18"/>
    </sheetView>
  </sheetViews>
  <sheetFormatPr defaultRowHeight="15" x14ac:dyDescent="0.25"/>
  <cols>
    <col min="2" max="2" width="17.5703125" bestFit="1" customWidth="1"/>
    <col min="3" max="3" width="17.5703125" customWidth="1"/>
    <col min="4" max="4" width="36.140625" bestFit="1" customWidth="1"/>
    <col min="5" max="5" width="11.140625" bestFit="1" customWidth="1"/>
    <col min="6" max="7" width="8.5703125" customWidth="1"/>
    <col min="8" max="12" width="19" customWidth="1"/>
    <col min="13" max="13" width="10.5703125" customWidth="1"/>
    <col min="14" max="14" width="9.85546875" customWidth="1"/>
    <col min="15" max="17" width="9.140625" customWidth="1"/>
    <col min="18" max="18" width="11.7109375" customWidth="1"/>
    <col min="19" max="19" width="19" customWidth="1"/>
    <col min="24" max="24" width="11.7109375" bestFit="1" customWidth="1"/>
    <col min="25" max="25" width="115.140625" bestFit="1" customWidth="1"/>
    <col min="26" max="26" width="126.7109375" bestFit="1" customWidth="1"/>
    <col min="27" max="27" width="16.5703125" customWidth="1"/>
    <col min="29" max="29" width="9.7109375" bestFit="1" customWidth="1"/>
    <col min="30" max="30" width="11.85546875" bestFit="1" customWidth="1"/>
    <col min="31" max="31" width="14" bestFit="1" customWidth="1"/>
    <col min="32" max="32" width="88.42578125" bestFit="1" customWidth="1"/>
    <col min="33" max="33" width="78.28515625" bestFit="1" customWidth="1"/>
    <col min="34" max="35" width="19.28515625" bestFit="1" customWidth="1"/>
    <col min="36" max="36" width="50.5703125" bestFit="1" customWidth="1"/>
    <col min="37" max="37" width="19.5703125" customWidth="1"/>
    <col min="38" max="38" width="6" bestFit="1" customWidth="1"/>
    <col min="39" max="39" width="13.140625" bestFit="1" customWidth="1"/>
    <col min="40" max="40" width="12.28515625" bestFit="1" customWidth="1"/>
    <col min="41" max="41" width="40.85546875" customWidth="1"/>
    <col min="42" max="42" width="9" bestFit="1" customWidth="1"/>
    <col min="43" max="43" width="10.28515625" customWidth="1"/>
    <col min="44" max="44" width="10.5703125" bestFit="1" customWidth="1"/>
    <col min="45" max="45" width="12.140625" bestFit="1" customWidth="1"/>
    <col min="46" max="46" width="9.85546875" bestFit="1" customWidth="1"/>
    <col min="47" max="47" width="51.5703125" bestFit="1" customWidth="1"/>
    <col min="48" max="48" width="12.7109375" bestFit="1" customWidth="1"/>
  </cols>
  <sheetData>
    <row r="1" spans="1:48" x14ac:dyDescent="0.25">
      <c r="AJ1" t="s">
        <v>11</v>
      </c>
      <c r="AN1" t="s">
        <v>1289</v>
      </c>
    </row>
    <row r="2" spans="1:48" s="52" customFormat="1" ht="60" x14ac:dyDescent="0.25">
      <c r="A2" s="52" t="s">
        <v>6</v>
      </c>
      <c r="B2" s="52" t="s">
        <v>18</v>
      </c>
      <c r="C2" s="52" t="s">
        <v>1348</v>
      </c>
      <c r="D2" s="52" t="s">
        <v>7</v>
      </c>
      <c r="E2" s="52" t="s">
        <v>1345</v>
      </c>
      <c r="F2" s="52" t="s">
        <v>1346</v>
      </c>
      <c r="G2" s="52" t="s">
        <v>1388</v>
      </c>
      <c r="H2" s="52" t="s">
        <v>1297</v>
      </c>
      <c r="I2" s="52" t="s">
        <v>32</v>
      </c>
      <c r="J2" s="52" t="s">
        <v>40</v>
      </c>
      <c r="K2" s="52" t="s">
        <v>1383</v>
      </c>
      <c r="L2" s="52" t="s">
        <v>1347</v>
      </c>
      <c r="M2" s="52" t="s">
        <v>1359</v>
      </c>
      <c r="N2" s="52" t="s">
        <v>1358</v>
      </c>
      <c r="O2" s="52" t="s">
        <v>1357</v>
      </c>
      <c r="P2" s="52" t="s">
        <v>1389</v>
      </c>
      <c r="Q2" s="52" t="s">
        <v>1385</v>
      </c>
      <c r="R2" s="52" t="s">
        <v>1384</v>
      </c>
      <c r="X2" s="52" t="s">
        <v>43</v>
      </c>
      <c r="Y2" s="52" t="s">
        <v>42</v>
      </c>
      <c r="Z2" s="52" t="s">
        <v>9</v>
      </c>
      <c r="AC2" s="52" t="s">
        <v>1003</v>
      </c>
      <c r="AD2" s="52" t="s">
        <v>999</v>
      </c>
      <c r="AE2" s="52" t="s">
        <v>1000</v>
      </c>
      <c r="AF2" s="52" t="s">
        <v>1001</v>
      </c>
      <c r="AG2" s="52" t="s">
        <v>1005</v>
      </c>
      <c r="AH2" s="52" t="s">
        <v>1002</v>
      </c>
      <c r="AJ2" s="52" t="s">
        <v>7</v>
      </c>
      <c r="AL2" s="52" t="s">
        <v>6</v>
      </c>
      <c r="AM2" s="52" t="s">
        <v>1293</v>
      </c>
      <c r="AN2" s="52" t="s">
        <v>18</v>
      </c>
      <c r="AO2" s="52" t="s">
        <v>1290</v>
      </c>
      <c r="AP2" s="52" t="s">
        <v>19</v>
      </c>
      <c r="AR2" s="52" t="s">
        <v>6</v>
      </c>
      <c r="AS2" s="52" t="s">
        <v>1293</v>
      </c>
      <c r="AT2" s="52" t="s">
        <v>18</v>
      </c>
      <c r="AU2" s="52" t="s">
        <v>1290</v>
      </c>
      <c r="AV2" s="52" t="s">
        <v>19</v>
      </c>
    </row>
    <row r="3" spans="1:48" x14ac:dyDescent="0.25">
      <c r="A3">
        <f>ROW()-ROW(TPBE[[#Headers],[Index]])</f>
        <v>1</v>
      </c>
      <c r="B3" t="s">
        <v>25</v>
      </c>
      <c r="D3" t="s">
        <v>26</v>
      </c>
      <c r="E3" t="s">
        <v>32</v>
      </c>
      <c r="F3" s="46"/>
      <c r="G3" s="46">
        <v>1</v>
      </c>
      <c r="H3" t="s">
        <v>1297</v>
      </c>
      <c r="I3" t="s">
        <v>25</v>
      </c>
      <c r="J3" t="s">
        <v>40</v>
      </c>
      <c r="K3" t="s">
        <v>1383</v>
      </c>
      <c r="L3" t="s">
        <v>29</v>
      </c>
      <c r="M3" t="str">
        <f>IF(CHOOSE(MATCH(TPBE[[#This Row],[Group]],{"CHC","CSS","MHA","SH","OH-HC","POMS","SF"},0),Count_TPBE_CHC,Count_TPBE_CSS,Count_TPBE_MHA,Count_TPBE_SH,Count_TPBE_OHHC,Count_TPBE_POMS,Count_TPBE_SF)&gt;=1,TPBE[[#This Row],[Index]],"")</f>
        <v/>
      </c>
      <c r="N3" t="str">
        <f>IF(TPBE[[#This Row],[Index]]&gt;COUNT(TPBE[TPBE Surplus Check]),"",SMALL(TPBE[TPBE Surplus Check],TPBE[[#This Row],[Index]]))</f>
        <v/>
      </c>
      <c r="O3" t="str">
        <f>IF(TPBE[[#This Row],[Index]]&gt;COUNT(TPBE[TPBE Surplus Check]),"",INDEX(TPBE[TPBE],TPBE[[#This Row],[TPBE Surplus Index]]))</f>
        <v/>
      </c>
      <c r="P3" t="str">
        <f>IF(ISNUMBER(TPBE[[#This Row],[TPBE Surplus Index]]),INDEX(TPBE[Group Type],MATCH(TPBE[[#This Row],[TPBE Surplus List]],TPBE[TPBE],0)),"")</f>
        <v/>
      </c>
      <c r="Q3" t="str">
        <f>IF(TPBE[[#This Row],[Index]]&lt;=COUNTIFS(TPBE[TPBE Surplus Group Type],1),TPBE[[#This Row],[Index]],"")</f>
        <v/>
      </c>
      <c r="R3" t="str" cm="1">
        <f t="array" ref="R3">IF(ISNUMBER(TPBE[[#This Row],[TPBE Surplus Group Type]]),INDEX(_xlfn._xlws.FILTER(TPBE[TPBE Surplus List],NOT(ISNUMBER(MATCH(TPBE[TPBE Surplus List],{"POMS","SF"},0)))),TPBE[[#This Row],[Index]]),"")</f>
        <v/>
      </c>
      <c r="X3" t="s">
        <v>45</v>
      </c>
      <c r="Y3" t="s">
        <v>44</v>
      </c>
      <c r="Z3" t="str">
        <f>FCs[[#This Row],[FC Description]]&amp;" "&amp;FCs[[#This Row],[FC ID]]</f>
        <v>Administration and Support Services 72 1</v>
      </c>
      <c r="AC3" t="s">
        <v>590</v>
      </c>
      <c r="AD3" s="25" t="s">
        <v>591</v>
      </c>
      <c r="AE3" s="25" t="s">
        <v>596</v>
      </c>
      <c r="AF3" t="s">
        <v>601</v>
      </c>
      <c r="AG3" t="str">
        <f>PROPER(Agencies[[#This Row],[HSP Name]])</f>
        <v>Access Independent Living Services</v>
      </c>
      <c r="AH3" t="s">
        <v>607</v>
      </c>
      <c r="AJ3" t="s">
        <v>1007</v>
      </c>
      <c r="AL3">
        <f>ROW()-ROW(Surplus_DD[[#Headers],[Index]])</f>
        <v>1</v>
      </c>
      <c r="AM3" t="str">
        <f>IF(COUNTIFS(Surplus[Surplus TPBE],"&gt;=1")&lt;Surplus_DD[[#This Row],[Index]],"",SMALL(Surplus[Surplus TPBE],Surplus_DD[[#This Row],[Index]]))</f>
        <v/>
      </c>
      <c r="AN3" s="46" t="str">
        <f>IF(Surplus_DD[[#This Row],[Surplus Index]]="","",INDEX(Surplus[TPBE],Surplus_DD[[#This Row],[Surplus Index]]))</f>
        <v/>
      </c>
      <c r="AO3" t="str">
        <f>IF(Surplus_DD[[#This Row],[Surplus Index]]="","",INDEX(Surplus[Functional Centre],Surplus_DD[[#This Row],[Surplus Index]]))</f>
        <v/>
      </c>
      <c r="AP3" s="28">
        <f>SUMIFS(Surplus[Surplus],Surplus[TPBE],Surplus_DD[[#This Row],[TPBE]],Surplus[Functional Centre],Surplus_DD[[#This Row],[FC]])</f>
        <v>0</v>
      </c>
      <c r="AR3">
        <f>ROW()-ROW(Surplus_DD_V2[[#Headers],[Index]])</f>
        <v>1</v>
      </c>
      <c r="AS3" t="str">
        <f>IF(Surplus_DD_V2[[#This Row],[Index]]&gt;COUNT(Surplus[Surplus Drop-Down]),"",IF(COUNTIFS(Surplus[Surplus TPBE],"&gt;=1")&lt;Surplus_DD_V2[[#This Row],[Index]],"",SMALL(Surplus[Surplus Drop-Down],Surplus_DD_V2[[#This Row],[Index]])))</f>
        <v/>
      </c>
      <c r="AT3" s="46" t="str">
        <f>IF(Surplus_DD_V2[[#This Row],[Surplus Index]]="","",INDEX(Surplus[TPBE],Surplus_DD_V2[[#This Row],[Surplus Index]]))</f>
        <v/>
      </c>
      <c r="AU3" t="str">
        <f>IF(Surplus_DD_V2[[#This Row],[Surplus Index]]="","",INDEX(Surplus[Functional Centre],Surplus_DD_V2[[#This Row],[Surplus Index]]))</f>
        <v/>
      </c>
      <c r="AV3" s="28">
        <f>SUMIFS(Surplus[Surplus],Surplus[TPBE],Surplus_DD_V2[[#This Row],[TPBE]],Surplus[Functional Centre],Surplus_DD_V2[[#This Row],[FC]])</f>
        <v>0</v>
      </c>
    </row>
    <row r="4" spans="1:48" x14ac:dyDescent="0.25">
      <c r="A4">
        <f>ROW()-ROW(TPBE[[#Headers],[Index]])</f>
        <v>2</v>
      </c>
      <c r="B4" t="s">
        <v>27</v>
      </c>
      <c r="D4" t="s">
        <v>28</v>
      </c>
      <c r="E4" t="s">
        <v>32</v>
      </c>
      <c r="F4" s="46"/>
      <c r="G4" s="46">
        <v>1</v>
      </c>
      <c r="H4" t="s">
        <v>1298</v>
      </c>
      <c r="I4" t="s">
        <v>27</v>
      </c>
      <c r="L4" t="s">
        <v>24</v>
      </c>
      <c r="M4" t="str">
        <f>IF(CHOOSE(MATCH(TPBE[[#This Row],[Group]],{"CHC","CSS","MHA","SH","OH-HC","POMS","SF"},0),Count_TPBE_CHC,Count_TPBE_CSS,Count_TPBE_MHA,Count_TPBE_SH,Count_TPBE_OHHC,Count_TPBE_POMS,Count_TPBE_SF)&gt;=1,TPBE[[#This Row],[Index]],"")</f>
        <v/>
      </c>
      <c r="N4" t="str">
        <f>IF(TPBE[[#This Row],[Index]]&gt;COUNT(TPBE[TPBE Surplus Check]),"",SMALL(TPBE[TPBE Surplus Check],TPBE[[#This Row],[Index]]))</f>
        <v/>
      </c>
      <c r="O4" t="str">
        <f>IF(TPBE[[#This Row],[Index]]&gt;COUNT(TPBE[TPBE Surplus Check]),"",INDEX(TPBE[TPBE],TPBE[[#This Row],[TPBE Surplus Index]]))</f>
        <v/>
      </c>
      <c r="P4" t="str">
        <f>IF(ISNUMBER(TPBE[[#This Row],[TPBE Surplus Index]]),INDEX(TPBE[Group Type],MATCH(TPBE[[#This Row],[TPBE Surplus List]],TPBE[TPBE],0)),"")</f>
        <v/>
      </c>
      <c r="Q4" t="str">
        <f>IF(TPBE[[#This Row],[Index]]&lt;=COUNTIFS(TPBE[TPBE Surplus Group Type],1),TPBE[[#This Row],[Index]],"")</f>
        <v/>
      </c>
      <c r="R4" t="str" cm="1">
        <f t="array" ref="R4">IF(ISNUMBER(TPBE[[#This Row],[TPBE Surplus Group Type]]),INDEX(_xlfn._xlws.FILTER(TPBE[TPBE Surplus List],NOT(ISNUMBER(MATCH(TPBE[TPBE Surplus List],{"POMS","SF"},0)))),TPBE[[#This Row],[Index]]),"")</f>
        <v/>
      </c>
      <c r="X4" t="s">
        <v>47</v>
      </c>
      <c r="Y4" t="s">
        <v>46</v>
      </c>
      <c r="Z4" t="str">
        <f>FCs[[#This Row],[FC Description]]&amp;" "&amp;FCs[[#This Row],[FC ID]]</f>
        <v>LAB Pre/Post Analysis 72 4 10 21</v>
      </c>
      <c r="AC4" t="s">
        <v>590</v>
      </c>
      <c r="AD4" s="25" t="s">
        <v>592</v>
      </c>
      <c r="AE4" s="25" t="s">
        <v>597</v>
      </c>
      <c r="AF4" t="s">
        <v>602</v>
      </c>
      <c r="AG4" t="str">
        <f>PROPER(Agencies[[#This Row],[HSP Name]])</f>
        <v>Across Boundaries</v>
      </c>
      <c r="AH4" t="s">
        <v>608</v>
      </c>
      <c r="AJ4" t="s">
        <v>1008</v>
      </c>
      <c r="AL4">
        <f>ROW()-ROW(Surplus_DD[[#Headers],[Index]])</f>
        <v>2</v>
      </c>
      <c r="AM4" t="str">
        <f>IF(COUNTIFS(Surplus[Surplus TPBE],"&gt;=1")&lt;Surplus_DD[[#This Row],[Index]],"",SMALL(Surplus[Surplus TPBE],Surplus_DD[[#This Row],[Index]]))</f>
        <v/>
      </c>
      <c r="AN4" s="46" t="str">
        <f>IF(Surplus_DD[[#This Row],[Surplus Index]]="","",INDEX(Surplus[TPBE],Surplus_DD[[#This Row],[Surplus Index]]))</f>
        <v/>
      </c>
      <c r="AO4" t="str">
        <f>IF(Surplus_DD[[#This Row],[Surplus Index]]="","",INDEX(Surplus[Functional Centre],Surplus_DD[[#This Row],[Surplus Index]]))</f>
        <v/>
      </c>
      <c r="AP4" s="28">
        <f>SUMIFS(Surplus[Surplus],Surplus[TPBE],Surplus_DD[[#This Row],[TPBE]],Surplus[Functional Centre],Surplus_DD[[#This Row],[FC]])</f>
        <v>0</v>
      </c>
      <c r="AR4">
        <f>ROW()-ROW(Surplus_DD_V2[[#Headers],[Index]])</f>
        <v>2</v>
      </c>
      <c r="AS4" t="str">
        <f>IF(Surplus_DD_V2[[#This Row],[Index]]&gt;COUNT(Surplus[Surplus Drop-Down]),"",IF(COUNTIFS(Surplus[Surplus TPBE],"&gt;=1")&lt;Surplus_DD_V2[[#This Row],[Index]],"",SMALL(Surplus[Surplus Drop-Down],Surplus_DD_V2[[#This Row],[Index]])))</f>
        <v/>
      </c>
      <c r="AT4" s="46" t="str">
        <f>IF(Surplus_DD_V2[[#This Row],[Surplus Index]]="","",INDEX(Surplus[TPBE],Surplus_DD_V2[[#This Row],[Surplus Index]]))</f>
        <v/>
      </c>
      <c r="AU4" t="str">
        <f>IF(Surplus_DD_V2[[#This Row],[Surplus Index]]="","",INDEX(Surplus[Functional Centre],Surplus_DD_V2[[#This Row],[Surplus Index]]))</f>
        <v/>
      </c>
      <c r="AV4" s="28">
        <f>SUMIFS(Surplus[Surplus],Surplus[TPBE],Surplus_DD_V2[[#This Row],[TPBE]],Surplus[Functional Centre],Surplus_DD_V2[[#This Row],[FC]])</f>
        <v>0</v>
      </c>
    </row>
    <row r="5" spans="1:48" x14ac:dyDescent="0.25">
      <c r="A5">
        <f>ROW()-ROW(TPBE[[#Headers],[Index]])</f>
        <v>3</v>
      </c>
      <c r="B5" t="s">
        <v>1297</v>
      </c>
      <c r="D5" t="s">
        <v>1299</v>
      </c>
      <c r="E5" t="s">
        <v>1297</v>
      </c>
      <c r="F5" s="46"/>
      <c r="G5" s="46">
        <v>1</v>
      </c>
      <c r="H5" t="s">
        <v>1301</v>
      </c>
      <c r="I5" t="s">
        <v>32</v>
      </c>
      <c r="L5" t="s">
        <v>36</v>
      </c>
      <c r="M5" t="str">
        <f>IF(CHOOSE(MATCH(TPBE[[#This Row],[Group]],{"CHC","CSS","MHA","SH","OH-HC","POMS","SF"},0),Count_TPBE_CHC,Count_TPBE_CSS,Count_TPBE_MHA,Count_TPBE_SH,Count_TPBE_OHHC,Count_TPBE_POMS,Count_TPBE_SF)&gt;=1,TPBE[[#This Row],[Index]],"")</f>
        <v/>
      </c>
      <c r="N5" t="str">
        <f>IF(TPBE[[#This Row],[Index]]&gt;COUNT(TPBE[TPBE Surplus Check]),"",SMALL(TPBE[TPBE Surplus Check],TPBE[[#This Row],[Index]]))</f>
        <v/>
      </c>
      <c r="O5" t="str">
        <f>IF(TPBE[[#This Row],[Index]]&gt;COUNT(TPBE[TPBE Surplus Check]),"",INDEX(TPBE[TPBE],TPBE[[#This Row],[TPBE Surplus Index]]))</f>
        <v/>
      </c>
      <c r="P5" t="str">
        <f>IF(ISNUMBER(TPBE[[#This Row],[TPBE Surplus Index]]),INDEX(TPBE[Group Type],MATCH(TPBE[[#This Row],[TPBE Surplus List]],TPBE[TPBE],0)),"")</f>
        <v/>
      </c>
      <c r="Q5" t="str">
        <f>IF(TPBE[[#This Row],[Index]]&lt;=COUNTIFS(TPBE[TPBE Surplus Group Type],1),TPBE[[#This Row],[Index]],"")</f>
        <v/>
      </c>
      <c r="R5" t="str" cm="1">
        <f t="array" ref="R5">IF(ISNUMBER(TPBE[[#This Row],[TPBE Surplus Group Type]]),INDEX(_xlfn._xlws.FILTER(TPBE[TPBE Surplus List],NOT(ISNUMBER(MATCH(TPBE[TPBE Surplus List],{"POMS","SF"},0)))),TPBE[[#This Row],[Index]]),"")</f>
        <v/>
      </c>
      <c r="X5" t="s">
        <v>49</v>
      </c>
      <c r="Y5" t="s">
        <v>48</v>
      </c>
      <c r="Z5" t="str">
        <f>FCs[[#This Row],[FC Description]]&amp;" "&amp;FCs[[#This Row],[FC ID]]</f>
        <v>MI Combined Functions 72 4 15 99</v>
      </c>
      <c r="AC5" t="s">
        <v>590</v>
      </c>
      <c r="AD5" s="25" t="s">
        <v>593</v>
      </c>
      <c r="AE5" s="25" t="s">
        <v>598</v>
      </c>
      <c r="AF5" t="s">
        <v>603</v>
      </c>
      <c r="AG5" t="str">
        <f>PROPER(Agencies[[#This Row],[HSP Name]])</f>
        <v>Addiction Services Of York Region</v>
      </c>
      <c r="AH5" t="s">
        <v>609</v>
      </c>
      <c r="AJ5" t="s">
        <v>1009</v>
      </c>
      <c r="AL5">
        <f>ROW()-ROW(Surplus_DD[[#Headers],[Index]])</f>
        <v>3</v>
      </c>
      <c r="AM5" t="str">
        <f>IF(COUNTIFS(Surplus[Surplus TPBE],"&gt;=1")&lt;Surplus_DD[[#This Row],[Index]],"",SMALL(Surplus[Surplus TPBE],Surplus_DD[[#This Row],[Index]]))</f>
        <v/>
      </c>
      <c r="AN5" s="46" t="str">
        <f>IF(Surplus_DD[[#This Row],[Surplus Index]]="","",INDEX(Surplus[TPBE],Surplus_DD[[#This Row],[Surplus Index]]))</f>
        <v/>
      </c>
      <c r="AO5" t="str">
        <f>IF(Surplus_DD[[#This Row],[Surplus Index]]="","",INDEX(Surplus[Functional Centre],Surplus_DD[[#This Row],[Surplus Index]]))</f>
        <v/>
      </c>
      <c r="AP5" s="28">
        <f>SUMIFS(Surplus[Surplus],Surplus[TPBE],Surplus_DD[[#This Row],[TPBE]],Surplus[Functional Centre],Surplus_DD[[#This Row],[FC]])</f>
        <v>0</v>
      </c>
      <c r="AR5">
        <f>ROW()-ROW(Surplus_DD_V2[[#Headers],[Index]])</f>
        <v>3</v>
      </c>
      <c r="AS5" t="str">
        <f>IF(Surplus_DD_V2[[#This Row],[Index]]&gt;COUNT(Surplus[Surplus Drop-Down]),"",IF(COUNTIFS(Surplus[Surplus TPBE],"&gt;=1")&lt;Surplus_DD_V2[[#This Row],[Index]],"",SMALL(Surplus[Surplus Drop-Down],Surplus_DD_V2[[#This Row],[Index]])))</f>
        <v/>
      </c>
      <c r="AT5" s="46" t="str">
        <f>IF(Surplus_DD_V2[[#This Row],[Surplus Index]]="","",INDEX(Surplus[TPBE],Surplus_DD_V2[[#This Row],[Surplus Index]]))</f>
        <v/>
      </c>
      <c r="AU5" t="str">
        <f>IF(Surplus_DD_V2[[#This Row],[Surplus Index]]="","",INDEX(Surplus[Functional Centre],Surplus_DD_V2[[#This Row],[Surplus Index]]))</f>
        <v/>
      </c>
      <c r="AV5" s="28">
        <f>SUMIFS(Surplus[Surplus],Surplus[TPBE],Surplus_DD_V2[[#This Row],[TPBE]],Surplus[Functional Centre],Surplus_DD_V2[[#This Row],[FC]])</f>
        <v>0</v>
      </c>
    </row>
    <row r="6" spans="1:48" x14ac:dyDescent="0.25">
      <c r="A6">
        <f>ROW()-ROW(TPBE[[#Headers],[Index]])</f>
        <v>4</v>
      </c>
      <c r="B6" t="s">
        <v>1298</v>
      </c>
      <c r="D6" t="s">
        <v>1300</v>
      </c>
      <c r="E6" t="s">
        <v>1297</v>
      </c>
      <c r="F6" s="46"/>
      <c r="G6" s="46">
        <v>1</v>
      </c>
      <c r="I6" t="s">
        <v>34</v>
      </c>
      <c r="L6" t="s">
        <v>38</v>
      </c>
      <c r="M6" t="str">
        <f>IF(CHOOSE(MATCH(TPBE[[#This Row],[Group]],{"CHC","CSS","MHA","SH","OH-HC","POMS","SF"},0),Count_TPBE_CHC,Count_TPBE_CSS,Count_TPBE_MHA,Count_TPBE_SH,Count_TPBE_OHHC,Count_TPBE_POMS,Count_TPBE_SF)&gt;=1,TPBE[[#This Row],[Index]],"")</f>
        <v/>
      </c>
      <c r="N6" t="str">
        <f>IF(TPBE[[#This Row],[Index]]&gt;COUNT(TPBE[TPBE Surplus Check]),"",SMALL(TPBE[TPBE Surplus Check],TPBE[[#This Row],[Index]]))</f>
        <v/>
      </c>
      <c r="O6" t="str">
        <f>IF(TPBE[[#This Row],[Index]]&gt;COUNT(TPBE[TPBE Surplus Check]),"",INDEX(TPBE[TPBE],TPBE[[#This Row],[TPBE Surplus Index]]))</f>
        <v/>
      </c>
      <c r="P6" t="str">
        <f>IF(ISNUMBER(TPBE[[#This Row],[TPBE Surplus Index]]),INDEX(TPBE[Group Type],MATCH(TPBE[[#This Row],[TPBE Surplus List]],TPBE[TPBE],0)),"")</f>
        <v/>
      </c>
      <c r="Q6" t="str">
        <f>IF(TPBE[[#This Row],[Index]]&lt;=COUNTIFS(TPBE[TPBE Surplus Group Type],1),TPBE[[#This Row],[Index]],"")</f>
        <v/>
      </c>
      <c r="R6" t="str" cm="1">
        <f t="array" ref="R6">IF(ISNUMBER(TPBE[[#This Row],[TPBE Surplus Group Type]]),INDEX(_xlfn._xlws.FILTER(TPBE[TPBE Surplus List],NOT(ISNUMBER(MATCH(TPBE[TPBE Surplus List],{"POMS","SF"},0)))),TPBE[[#This Row],[Index]]),"")</f>
        <v/>
      </c>
      <c r="X6" t="s">
        <v>51</v>
      </c>
      <c r="Y6" t="s">
        <v>50</v>
      </c>
      <c r="Z6" t="str">
        <f>FCs[[#This Row],[FC Description]]&amp;" "&amp;FCs[[#This Row],[FC ID]]</f>
        <v>NV Non - Invasive Cardiology - Combined 72 4 30 20 99</v>
      </c>
      <c r="AC6" t="s">
        <v>590</v>
      </c>
      <c r="AD6" s="25" t="s">
        <v>594</v>
      </c>
      <c r="AE6" s="25" t="s">
        <v>599</v>
      </c>
      <c r="AF6" t="s">
        <v>604</v>
      </c>
      <c r="AG6" t="str">
        <f>PROPER(Agencies[[#This Row],[HSP Name]])</f>
        <v>Alzheimer Society Of York Region</v>
      </c>
      <c r="AH6" t="s">
        <v>610</v>
      </c>
      <c r="AJ6" t="s">
        <v>1010</v>
      </c>
      <c r="AL6">
        <f>ROW()-ROW(Surplus_DD[[#Headers],[Index]])</f>
        <v>4</v>
      </c>
      <c r="AM6" t="str">
        <f>IF(COUNTIFS(Surplus[Surplus TPBE],"&gt;=1")&lt;Surplus_DD[[#This Row],[Index]],"",SMALL(Surplus[Surplus TPBE],Surplus_DD[[#This Row],[Index]]))</f>
        <v/>
      </c>
      <c r="AN6" s="46" t="str">
        <f>IF(Surplus_DD[[#This Row],[Surplus Index]]="","",INDEX(Surplus[TPBE],Surplus_DD[[#This Row],[Surplus Index]]))</f>
        <v/>
      </c>
      <c r="AO6" t="str">
        <f>IF(Surplus_DD[[#This Row],[Surplus Index]]="","",INDEX(Surplus[Functional Centre],Surplus_DD[[#This Row],[Surplus Index]]))</f>
        <v/>
      </c>
      <c r="AP6" s="28">
        <f>SUMIFS(Surplus[Surplus],Surplus[TPBE],Surplus_DD[[#This Row],[TPBE]],Surplus[Functional Centre],Surplus_DD[[#This Row],[FC]])</f>
        <v>0</v>
      </c>
      <c r="AR6">
        <f>ROW()-ROW(Surplus_DD_V2[[#Headers],[Index]])</f>
        <v>4</v>
      </c>
      <c r="AS6" t="str">
        <f>IF(Surplus_DD_V2[[#This Row],[Index]]&gt;COUNT(Surplus[Surplus Drop-Down]),"",IF(COUNTIFS(Surplus[Surplus TPBE],"&gt;=1")&lt;Surplus_DD_V2[[#This Row],[Index]],"",SMALL(Surplus[Surplus Drop-Down],Surplus_DD_V2[[#This Row],[Index]])))</f>
        <v/>
      </c>
      <c r="AT6" s="46" t="str">
        <f>IF(Surplus_DD_V2[[#This Row],[Surplus Index]]="","",INDEX(Surplus[TPBE],Surplus_DD_V2[[#This Row],[Surplus Index]]))</f>
        <v/>
      </c>
      <c r="AU6" t="str">
        <f>IF(Surplus_DD_V2[[#This Row],[Surplus Index]]="","",INDEX(Surplus[Functional Centre],Surplus_DD_V2[[#This Row],[Surplus Index]]))</f>
        <v/>
      </c>
      <c r="AV6" s="28">
        <f>SUMIFS(Surplus[Surplus],Surplus[TPBE],Surplus_DD_V2[[#This Row],[TPBE]],Surplus[Functional Centre],Surplus_DD_V2[[#This Row],[FC]])</f>
        <v>0</v>
      </c>
    </row>
    <row r="7" spans="1:48" x14ac:dyDescent="0.25">
      <c r="A7">
        <f>ROW()-ROW(TPBE[[#Headers],[Index]])</f>
        <v>5</v>
      </c>
      <c r="B7" t="s">
        <v>1301</v>
      </c>
      <c r="D7" t="s">
        <v>1302</v>
      </c>
      <c r="E7" t="s">
        <v>1297</v>
      </c>
      <c r="F7" s="46"/>
      <c r="G7" s="46">
        <v>1</v>
      </c>
      <c r="I7" t="s">
        <v>40</v>
      </c>
      <c r="M7" t="str">
        <f>IF(CHOOSE(MATCH(TPBE[[#This Row],[Group]],{"CHC","CSS","MHA","SH","OH-HC","POMS","SF"},0),Count_TPBE_CHC,Count_TPBE_CSS,Count_TPBE_MHA,Count_TPBE_SH,Count_TPBE_OHHC,Count_TPBE_POMS,Count_TPBE_SF)&gt;=1,TPBE[[#This Row],[Index]],"")</f>
        <v/>
      </c>
      <c r="N7" t="str">
        <f>IF(TPBE[[#This Row],[Index]]&gt;COUNT(TPBE[TPBE Surplus Check]),"",SMALL(TPBE[TPBE Surplus Check],TPBE[[#This Row],[Index]]))</f>
        <v/>
      </c>
      <c r="O7" t="str">
        <f>IF(TPBE[[#This Row],[Index]]&gt;COUNT(TPBE[TPBE Surplus Check]),"",INDEX(TPBE[TPBE],TPBE[[#This Row],[TPBE Surplus Index]]))</f>
        <v/>
      </c>
      <c r="P7" t="str">
        <f>IF(ISNUMBER(TPBE[[#This Row],[TPBE Surplus Index]]),INDEX(TPBE[Group Type],MATCH(TPBE[[#This Row],[TPBE Surplus List]],TPBE[TPBE],0)),"")</f>
        <v/>
      </c>
      <c r="Q7" t="str">
        <f>IF(TPBE[[#This Row],[Index]]&lt;=COUNTIFS(TPBE[TPBE Surplus Group Type],1),TPBE[[#This Row],[Index]],"")</f>
        <v/>
      </c>
      <c r="R7" t="str" cm="1">
        <f t="array" ref="R7">IF(ISNUMBER(TPBE[[#This Row],[TPBE Surplus Group Type]]),INDEX(_xlfn._xlws.FILTER(TPBE[TPBE Surplus List],NOT(ISNUMBER(MATCH(TPBE[TPBE Surplus List],{"POMS","SF"},0)))),TPBE[[#This Row],[Index]]),"")</f>
        <v/>
      </c>
      <c r="X7" t="s">
        <v>53</v>
      </c>
      <c r="Y7" t="s">
        <v>52</v>
      </c>
      <c r="Z7" t="str">
        <f>FCs[[#This Row],[FC Description]]&amp;" "&amp;FCs[[#This Row],[FC ID]]</f>
        <v>Clinical Management 72 5 05</v>
      </c>
      <c r="AC7" t="s">
        <v>590</v>
      </c>
      <c r="AD7" s="25" t="s">
        <v>595</v>
      </c>
      <c r="AE7" s="25" t="s">
        <v>600</v>
      </c>
      <c r="AF7" t="s">
        <v>605</v>
      </c>
      <c r="AG7" t="str">
        <f>PROPER(Agencies[[#This Row],[HSP Name]])</f>
        <v>Aphasia Institute</v>
      </c>
      <c r="AH7" t="s">
        <v>611</v>
      </c>
      <c r="AJ7" t="s">
        <v>1011</v>
      </c>
      <c r="AL7">
        <f>ROW()-ROW(Surplus_DD[[#Headers],[Index]])</f>
        <v>5</v>
      </c>
      <c r="AM7" t="str">
        <f>IF(COUNTIFS(Surplus[Surplus TPBE],"&gt;=1")&lt;Surplus_DD[[#This Row],[Index]],"",SMALL(Surplus[Surplus TPBE],Surplus_DD[[#This Row],[Index]]))</f>
        <v/>
      </c>
      <c r="AN7" s="46" t="str">
        <f>IF(Surplus_DD[[#This Row],[Surplus Index]]="","",INDEX(Surplus[TPBE],Surplus_DD[[#This Row],[Surplus Index]]))</f>
        <v/>
      </c>
      <c r="AO7" t="str">
        <f>IF(Surplus_DD[[#This Row],[Surplus Index]]="","",INDEX(Surplus[Functional Centre],Surplus_DD[[#This Row],[Surplus Index]]))</f>
        <v/>
      </c>
      <c r="AP7" s="28">
        <f>SUMIFS(Surplus[Surplus],Surplus[TPBE],Surplus_DD[[#This Row],[TPBE]],Surplus[Functional Centre],Surplus_DD[[#This Row],[FC]])</f>
        <v>0</v>
      </c>
      <c r="AR7">
        <f>ROW()-ROW(Surplus_DD_V2[[#Headers],[Index]])</f>
        <v>5</v>
      </c>
      <c r="AS7" t="str">
        <f>IF(Surplus_DD_V2[[#This Row],[Index]]&gt;COUNT(Surplus[Surplus Drop-Down]),"",IF(COUNTIFS(Surplus[Surplus TPBE],"&gt;=1")&lt;Surplus_DD_V2[[#This Row],[Index]],"",SMALL(Surplus[Surplus Drop-Down],Surplus_DD_V2[[#This Row],[Index]])))</f>
        <v/>
      </c>
      <c r="AT7" s="46" t="str">
        <f>IF(Surplus_DD_V2[[#This Row],[Surplus Index]]="","",INDEX(Surplus[TPBE],Surplus_DD_V2[[#This Row],[Surplus Index]]))</f>
        <v/>
      </c>
      <c r="AU7" t="str">
        <f>IF(Surplus_DD_V2[[#This Row],[Surplus Index]]="","",INDEX(Surplus[Functional Centre],Surplus_DD_V2[[#This Row],[Surplus Index]]))</f>
        <v/>
      </c>
      <c r="AV7" s="28">
        <f>SUMIFS(Surplus[Surplus],Surplus[TPBE],Surplus_DD_V2[[#This Row],[TPBE]],Surplus[Functional Centre],Surplus_DD_V2[[#This Row],[FC]])</f>
        <v>0</v>
      </c>
    </row>
    <row r="8" spans="1:48" x14ac:dyDescent="0.25">
      <c r="A8">
        <f>ROW()-ROW(TPBE[[#Headers],[Index]])</f>
        <v>6</v>
      </c>
      <c r="B8" t="s">
        <v>29</v>
      </c>
      <c r="D8" t="s">
        <v>30</v>
      </c>
      <c r="E8" t="s">
        <v>1347</v>
      </c>
      <c r="F8" s="46"/>
      <c r="G8" s="46">
        <v>1</v>
      </c>
      <c r="M8" t="str">
        <f>IF(CHOOSE(MATCH(TPBE[[#This Row],[Group]],{"CHC","CSS","MHA","SH","OH-HC","POMS","SF"},0),Count_TPBE_CHC,Count_TPBE_CSS,Count_TPBE_MHA,Count_TPBE_SH,Count_TPBE_OHHC,Count_TPBE_POMS,Count_TPBE_SF)&gt;=1,TPBE[[#This Row],[Index]],"")</f>
        <v/>
      </c>
      <c r="N8" t="str">
        <f>IF(TPBE[[#This Row],[Index]]&gt;COUNT(TPBE[TPBE Surplus Check]),"",SMALL(TPBE[TPBE Surplus Check],TPBE[[#This Row],[Index]]))</f>
        <v/>
      </c>
      <c r="O8" t="str">
        <f>IF(TPBE[[#This Row],[Index]]&gt;COUNT(TPBE[TPBE Surplus Check]),"",INDEX(TPBE[TPBE],TPBE[[#This Row],[TPBE Surplus Index]]))</f>
        <v/>
      </c>
      <c r="P8" t="str">
        <f>IF(ISNUMBER(TPBE[[#This Row],[TPBE Surplus Index]]),INDEX(TPBE[Group Type],MATCH(TPBE[[#This Row],[TPBE Surplus List]],TPBE[TPBE],0)),"")</f>
        <v/>
      </c>
      <c r="Q8" t="str">
        <f>IF(TPBE[[#This Row],[Index]]&lt;=COUNTIFS(TPBE[TPBE Surplus Group Type],1),TPBE[[#This Row],[Index]],"")</f>
        <v/>
      </c>
      <c r="R8" t="str" cm="1">
        <f t="array" ref="R8">IF(ISNUMBER(TPBE[[#This Row],[TPBE Surplus Group Type]]),INDEX(_xlfn._xlws.FILTER(TPBE[TPBE Surplus List],NOT(ISNUMBER(MATCH(TPBE[TPBE Surplus List],{"POMS","SF"},0)))),TPBE[[#This Row],[Index]]),"")</f>
        <v/>
      </c>
      <c r="X8" t="s">
        <v>55</v>
      </c>
      <c r="Y8" t="s">
        <v>54</v>
      </c>
      <c r="Z8" t="str">
        <f>FCs[[#This Row],[FC Description]]&amp;" "&amp;FCs[[#This Row],[FC ID]]</f>
        <v>Medical Resources 72 5 07</v>
      </c>
      <c r="AC8" t="s">
        <v>590</v>
      </c>
      <c r="AD8" s="25">
        <v>4257</v>
      </c>
      <c r="AE8" s="25">
        <v>114430</v>
      </c>
      <c r="AF8" t="s">
        <v>606</v>
      </c>
      <c r="AG8" t="str">
        <f>PROPER(Agencies[[#This Row],[HSP Name]])</f>
        <v>Bernard Betel Centre For Creative Living</v>
      </c>
      <c r="AH8" t="s">
        <v>612</v>
      </c>
      <c r="AJ8" t="s">
        <v>1012</v>
      </c>
      <c r="AL8">
        <f>ROW()-ROW(Surplus_DD[[#Headers],[Index]])</f>
        <v>6</v>
      </c>
      <c r="AM8" t="str">
        <f>IF(COUNTIFS(Surplus[Surplus TPBE],"&gt;=1")&lt;Surplus_DD[[#This Row],[Index]],"",SMALL(Surplus[Surplus TPBE],Surplus_DD[[#This Row],[Index]]))</f>
        <v/>
      </c>
      <c r="AN8" s="46" t="str">
        <f>IF(Surplus_DD[[#This Row],[Surplus Index]]="","",INDEX(Surplus[TPBE],Surplus_DD[[#This Row],[Surplus Index]]))</f>
        <v/>
      </c>
      <c r="AO8" t="str">
        <f>IF(Surplus_DD[[#This Row],[Surplus Index]]="","",INDEX(Surplus[Functional Centre],Surplus_DD[[#This Row],[Surplus Index]]))</f>
        <v/>
      </c>
      <c r="AP8" s="28">
        <f>SUMIFS(Surplus[Surplus],Surplus[TPBE],Surplus_DD[[#This Row],[TPBE]],Surplus[Functional Centre],Surplus_DD[[#This Row],[FC]])</f>
        <v>0</v>
      </c>
      <c r="AR8">
        <f>ROW()-ROW(Surplus_DD_V2[[#Headers],[Index]])</f>
        <v>6</v>
      </c>
      <c r="AS8" t="str">
        <f>IF(Surplus_DD_V2[[#This Row],[Index]]&gt;COUNT(Surplus[Surplus Drop-Down]),"",IF(COUNTIFS(Surplus[Surplus TPBE],"&gt;=1")&lt;Surplus_DD_V2[[#This Row],[Index]],"",SMALL(Surplus[Surplus Drop-Down],Surplus_DD_V2[[#This Row],[Index]])))</f>
        <v/>
      </c>
      <c r="AT8" s="46" t="str">
        <f>IF(Surplus_DD_V2[[#This Row],[Surplus Index]]="","",INDEX(Surplus[TPBE],Surplus_DD_V2[[#This Row],[Surplus Index]]))</f>
        <v/>
      </c>
      <c r="AU8" t="str">
        <f>IF(Surplus_DD_V2[[#This Row],[Surplus Index]]="","",INDEX(Surplus[Functional Centre],Surplus_DD_V2[[#This Row],[Surplus Index]]))</f>
        <v/>
      </c>
      <c r="AV8" s="28">
        <f>SUMIFS(Surplus[Surplus],Surplus[TPBE],Surplus_DD_V2[[#This Row],[TPBE]],Surplus[Functional Centre],Surplus_DD_V2[[#This Row],[FC]])</f>
        <v>0</v>
      </c>
    </row>
    <row r="9" spans="1:48" x14ac:dyDescent="0.25">
      <c r="A9">
        <f>ROW()-ROW(TPBE[[#Headers],[Index]])</f>
        <v>7</v>
      </c>
      <c r="B9" t="s">
        <v>24</v>
      </c>
      <c r="D9" t="s">
        <v>31</v>
      </c>
      <c r="E9" t="s">
        <v>1347</v>
      </c>
      <c r="F9" s="46"/>
      <c r="G9" s="46">
        <v>1</v>
      </c>
      <c r="M9" t="str">
        <f>IF(CHOOSE(MATCH(TPBE[[#This Row],[Group]],{"CHC","CSS","MHA","SH","OH-HC","POMS","SF"},0),Count_TPBE_CHC,Count_TPBE_CSS,Count_TPBE_MHA,Count_TPBE_SH,Count_TPBE_OHHC,Count_TPBE_POMS,Count_TPBE_SF)&gt;=1,TPBE[[#This Row],[Index]],"")</f>
        <v/>
      </c>
      <c r="N9" t="str">
        <f>IF(TPBE[[#This Row],[Index]]&gt;COUNT(TPBE[TPBE Surplus Check]),"",SMALL(TPBE[TPBE Surplus Check],TPBE[[#This Row],[Index]]))</f>
        <v/>
      </c>
      <c r="O9" t="str">
        <f>IF(TPBE[[#This Row],[Index]]&gt;COUNT(TPBE[TPBE Surplus Check]),"",INDEX(TPBE[TPBE],TPBE[[#This Row],[TPBE Surplus Index]]))</f>
        <v/>
      </c>
      <c r="P9" t="str">
        <f>IF(ISNUMBER(TPBE[[#This Row],[TPBE Surplus Index]]),INDEX(TPBE[Group Type],MATCH(TPBE[[#This Row],[TPBE Surplus List]],TPBE[TPBE],0)),"")</f>
        <v/>
      </c>
      <c r="Q9" t="str">
        <f>IF(TPBE[[#This Row],[Index]]&lt;=COUNTIFS(TPBE[TPBE Surplus Group Type],1),TPBE[[#This Row],[Index]],"")</f>
        <v/>
      </c>
      <c r="R9" t="str" cm="1">
        <f t="array" ref="R9">IF(ISNUMBER(TPBE[[#This Row],[TPBE Surplus Group Type]]),INDEX(_xlfn._xlws.FILTER(TPBE[TPBE Surplus List],NOT(ISNUMBER(MATCH(TPBE[TPBE Surplus List],{"POMS","SF"},0)))),TPBE[[#This Row],[Index]]),"")</f>
        <v/>
      </c>
      <c r="X9" t="s">
        <v>57</v>
      </c>
      <c r="Y9" t="s">
        <v>56</v>
      </c>
      <c r="Z9" t="str">
        <f>FCs[[#This Row],[FC Description]]&amp;" "&amp;FCs[[#This Row],[FC ID]]</f>
        <v>CMH&amp;A Centralized/Coordinated Access 72 5 08</v>
      </c>
      <c r="AC9" t="s">
        <v>590</v>
      </c>
      <c r="AD9" s="25" t="s">
        <v>613</v>
      </c>
      <c r="AE9" s="25" t="s">
        <v>615</v>
      </c>
      <c r="AF9" t="s">
        <v>617</v>
      </c>
      <c r="AG9" t="str">
        <f>PROPER(Agencies[[#This Row],[HSP Name]])</f>
        <v>Better Living Health And Community Services</v>
      </c>
      <c r="AH9" t="s">
        <v>619</v>
      </c>
      <c r="AJ9" t="s">
        <v>1013</v>
      </c>
      <c r="AL9">
        <f>ROW()-ROW(Surplus_DD[[#Headers],[Index]])</f>
        <v>7</v>
      </c>
      <c r="AM9" t="str">
        <f>IF(COUNTIFS(Surplus[Surplus TPBE],"&gt;=1")&lt;Surplus_DD[[#This Row],[Index]],"",SMALL(Surplus[Surplus TPBE],Surplus_DD[[#This Row],[Index]]))</f>
        <v/>
      </c>
      <c r="AN9" s="46" t="str">
        <f>IF(Surplus_DD[[#This Row],[Surplus Index]]="","",INDEX(Surplus[TPBE],Surplus_DD[[#This Row],[Surplus Index]]))</f>
        <v/>
      </c>
      <c r="AO9" t="str">
        <f>IF(Surplus_DD[[#This Row],[Surplus Index]]="","",INDEX(Surplus[Functional Centre],Surplus_DD[[#This Row],[Surplus Index]]))</f>
        <v/>
      </c>
      <c r="AP9" s="28">
        <f>SUMIFS(Surplus[Surplus],Surplus[TPBE],Surplus_DD[[#This Row],[TPBE]],Surplus[Functional Centre],Surplus_DD[[#This Row],[FC]])</f>
        <v>0</v>
      </c>
      <c r="AR9">
        <f>ROW()-ROW(Surplus_DD_V2[[#Headers],[Index]])</f>
        <v>7</v>
      </c>
      <c r="AS9" t="str">
        <f>IF(Surplus_DD_V2[[#This Row],[Index]]&gt;COUNT(Surplus[Surplus Drop-Down]),"",IF(COUNTIFS(Surplus[Surplus TPBE],"&gt;=1")&lt;Surplus_DD_V2[[#This Row],[Index]],"",SMALL(Surplus[Surplus Drop-Down],Surplus_DD_V2[[#This Row],[Index]])))</f>
        <v/>
      </c>
      <c r="AT9" s="46" t="str">
        <f>IF(Surplus_DD_V2[[#This Row],[Surplus Index]]="","",INDEX(Surplus[TPBE],Surplus_DD_V2[[#This Row],[Surplus Index]]))</f>
        <v/>
      </c>
      <c r="AU9" t="str">
        <f>IF(Surplus_DD_V2[[#This Row],[Surplus Index]]="","",INDEX(Surplus[Functional Centre],Surplus_DD_V2[[#This Row],[Surplus Index]]))</f>
        <v/>
      </c>
      <c r="AV9" s="28">
        <f>SUMIFS(Surplus[Surplus],Surplus[TPBE],Surplus_DD_V2[[#This Row],[TPBE]],Surplus[Functional Centre],Surplus_DD_V2[[#This Row],[FC]])</f>
        <v>0</v>
      </c>
    </row>
    <row r="10" spans="1:48" x14ac:dyDescent="0.25">
      <c r="A10">
        <f>ROW()-ROW(TPBE[[#Headers],[Index]])</f>
        <v>8</v>
      </c>
      <c r="B10" t="s">
        <v>32</v>
      </c>
      <c r="D10" t="s">
        <v>33</v>
      </c>
      <c r="E10" t="s">
        <v>32</v>
      </c>
      <c r="F10" s="46"/>
      <c r="G10" s="46">
        <v>1</v>
      </c>
      <c r="M10" t="str">
        <f>IF(CHOOSE(MATCH(TPBE[[#This Row],[Group]],{"CHC","CSS","MHA","SH","OH-HC","POMS","SF"},0),Count_TPBE_CHC,Count_TPBE_CSS,Count_TPBE_MHA,Count_TPBE_SH,Count_TPBE_OHHC,Count_TPBE_POMS,Count_TPBE_SF)&gt;=1,TPBE[[#This Row],[Index]],"")</f>
        <v/>
      </c>
      <c r="N10" t="str">
        <f>IF(TPBE[[#This Row],[Index]]&gt;COUNT(TPBE[TPBE Surplus Check]),"",SMALL(TPBE[TPBE Surplus Check],TPBE[[#This Row],[Index]]))</f>
        <v/>
      </c>
      <c r="O10" t="str">
        <f>IF(TPBE[[#This Row],[Index]]&gt;COUNT(TPBE[TPBE Surplus Check]),"",INDEX(TPBE[TPBE],TPBE[[#This Row],[TPBE Surplus Index]]))</f>
        <v/>
      </c>
      <c r="P10" t="str">
        <f>IF(ISNUMBER(TPBE[[#This Row],[TPBE Surplus Index]]),INDEX(TPBE[Group Type],MATCH(TPBE[[#This Row],[TPBE Surplus List]],TPBE[TPBE],0)),"")</f>
        <v/>
      </c>
      <c r="Q10" t="str">
        <f>IF(TPBE[[#This Row],[Index]]&lt;=COUNTIFS(TPBE[TPBE Surplus Group Type],1),TPBE[[#This Row],[Index]],"")</f>
        <v/>
      </c>
      <c r="R10" t="str" cm="1">
        <f t="array" ref="R10">IF(ISNUMBER(TPBE[[#This Row],[TPBE Surplus Group Type]]),INDEX(_xlfn._xlws.FILTER(TPBE[TPBE Surplus List],NOT(ISNUMBER(MATCH(TPBE[TPBE Surplus List],{"POMS","SF"},0)))),TPBE[[#This Row],[Index]]),"")</f>
        <v/>
      </c>
      <c r="X10" t="s">
        <v>59</v>
      </c>
      <c r="Y10" t="s">
        <v>58</v>
      </c>
      <c r="Z10" t="str">
        <f>FCs[[#This Row],[FC Description]]&amp;" "&amp;FCs[[#This Row],[FC ID]]</f>
        <v>Case Management (CCAC) 72 5 09 30</v>
      </c>
      <c r="AC10" t="s">
        <v>590</v>
      </c>
      <c r="AD10" s="25" t="s">
        <v>614</v>
      </c>
      <c r="AE10" s="25" t="s">
        <v>616</v>
      </c>
      <c r="AF10" t="s">
        <v>618</v>
      </c>
      <c r="AG10" t="str">
        <f>PROPER(Agencies[[#This Row],[HSP Name]])</f>
        <v>Black Creek Community Health</v>
      </c>
      <c r="AH10" t="s">
        <v>620</v>
      </c>
      <c r="AJ10" t="s">
        <v>1014</v>
      </c>
      <c r="AL10">
        <f>ROW()-ROW(Surplus_DD[[#Headers],[Index]])</f>
        <v>8</v>
      </c>
      <c r="AM10" t="str">
        <f>IF(COUNTIFS(Surplus[Surplus TPBE],"&gt;=1")&lt;Surplus_DD[[#This Row],[Index]],"",SMALL(Surplus[Surplus TPBE],Surplus_DD[[#This Row],[Index]]))</f>
        <v/>
      </c>
      <c r="AN10" s="46" t="str">
        <f>IF(Surplus_DD[[#This Row],[Surplus Index]]="","",INDEX(Surplus[TPBE],Surplus_DD[[#This Row],[Surplus Index]]))</f>
        <v/>
      </c>
      <c r="AO10" t="str">
        <f>IF(Surplus_DD[[#This Row],[Surplus Index]]="","",INDEX(Surplus[Functional Centre],Surplus_DD[[#This Row],[Surplus Index]]))</f>
        <v/>
      </c>
      <c r="AP10" s="28">
        <f>SUMIFS(Surplus[Surplus],Surplus[TPBE],Surplus_DD[[#This Row],[TPBE]],Surplus[Functional Centre],Surplus_DD[[#This Row],[FC]])</f>
        <v>0</v>
      </c>
      <c r="AR10">
        <f>ROW()-ROW(Surplus_DD_V2[[#Headers],[Index]])</f>
        <v>8</v>
      </c>
      <c r="AS10" t="str">
        <f>IF(Surplus_DD_V2[[#This Row],[Index]]&gt;COUNT(Surplus[Surplus Drop-Down]),"",IF(COUNTIFS(Surplus[Surplus TPBE],"&gt;=1")&lt;Surplus_DD_V2[[#This Row],[Index]],"",SMALL(Surplus[Surplus Drop-Down],Surplus_DD_V2[[#This Row],[Index]])))</f>
        <v/>
      </c>
      <c r="AT10" s="46" t="str">
        <f>IF(Surplus_DD_V2[[#This Row],[Surplus Index]]="","",INDEX(Surplus[TPBE],Surplus_DD_V2[[#This Row],[Surplus Index]]))</f>
        <v/>
      </c>
      <c r="AU10" t="str">
        <f>IF(Surplus_DD_V2[[#This Row],[Surplus Index]]="","",INDEX(Surplus[Functional Centre],Surplus_DD_V2[[#This Row],[Surplus Index]]))</f>
        <v/>
      </c>
      <c r="AV10" s="28">
        <f>SUMIFS(Surplus[Surplus],Surplus[TPBE],Surplus_DD_V2[[#This Row],[TPBE]],Surplus[Functional Centre],Surplus_DD_V2[[#This Row],[FC]])</f>
        <v>0</v>
      </c>
    </row>
    <row r="11" spans="1:48" x14ac:dyDescent="0.25">
      <c r="A11">
        <f>ROW()-ROW(TPBE[[#Headers],[Index]])</f>
        <v>9</v>
      </c>
      <c r="B11" t="s">
        <v>1383</v>
      </c>
      <c r="D11" t="s">
        <v>1381</v>
      </c>
      <c r="E11" t="s">
        <v>1383</v>
      </c>
      <c r="F11" s="46"/>
      <c r="G11" s="46">
        <v>2</v>
      </c>
      <c r="M11" t="str">
        <f>IF(CHOOSE(MATCH(TPBE[[#This Row],[Group]],{"CHC","CSS","MHA","SH","OH-HC","POMS","SF"},0),Count_TPBE_CHC,Count_TPBE_CSS,Count_TPBE_MHA,Count_TPBE_SH,Count_TPBE_OHHC,Count_TPBE_POMS,Count_TPBE_SF)&gt;=1,TPBE[[#This Row],[Index]],"")</f>
        <v/>
      </c>
      <c r="N11" t="str">
        <f>IF(TPBE[[#This Row],[Index]]&gt;COUNT(TPBE[TPBE Surplus Check]),"",SMALL(TPBE[TPBE Surplus Check],TPBE[[#This Row],[Index]]))</f>
        <v/>
      </c>
      <c r="O11" t="str">
        <f>IF(TPBE[[#This Row],[Index]]&gt;COUNT(TPBE[TPBE Surplus Check]),"",INDEX(TPBE[TPBE],TPBE[[#This Row],[TPBE Surplus Index]]))</f>
        <v/>
      </c>
      <c r="P11" t="str">
        <f>IF(ISNUMBER(TPBE[[#This Row],[TPBE Surplus Index]]),INDEX(TPBE[Group Type],MATCH(TPBE[[#This Row],[TPBE Surplus List]],TPBE[TPBE],0)),"")</f>
        <v/>
      </c>
      <c r="Q11" t="str">
        <f>IF(TPBE[[#This Row],[Index]]&lt;=COUNTIFS(TPBE[TPBE Surplus Group Type],1),TPBE[[#This Row],[Index]],"")</f>
        <v/>
      </c>
      <c r="R11" t="str" cm="1">
        <f t="array" ref="R11">IF(ISNUMBER(TPBE[[#This Row],[TPBE Surplus Group Type]]),INDEX(_xlfn._xlws.FILTER(TPBE[TPBE Surplus List],NOT(ISNUMBER(MATCH(TPBE[TPBE Surplus List],{"POMS","SF"},0)))),TPBE[[#This Row],[Index]]),"")</f>
        <v/>
      </c>
      <c r="X11" t="s">
        <v>61</v>
      </c>
      <c r="Y11" t="s">
        <v>60</v>
      </c>
      <c r="Z11" t="str">
        <f>FCs[[#This Row],[FC Description]]&amp;" "&amp;FCs[[#This Row],[FC ID]]</f>
        <v>Case Management/Supportive Counselling &amp; Services - Mental Health 72 5 09 76</v>
      </c>
      <c r="AC11" t="s">
        <v>590</v>
      </c>
      <c r="AD11" s="25" t="s">
        <v>621</v>
      </c>
      <c r="AE11" s="25" t="s">
        <v>624</v>
      </c>
      <c r="AF11" t="s">
        <v>628</v>
      </c>
      <c r="AG11" t="str">
        <f>PROPER(Agencies[[#This Row],[HSP Name]])</f>
        <v>Canadian Hearing Services Services Canadiens De L'Ouie</v>
      </c>
      <c r="AH11" t="s">
        <v>632</v>
      </c>
      <c r="AJ11" t="s">
        <v>1015</v>
      </c>
      <c r="AL11">
        <f>ROW()-ROW(Surplus_DD[[#Headers],[Index]])</f>
        <v>9</v>
      </c>
      <c r="AM11" t="str">
        <f>IF(COUNTIFS(Surplus[Surplus TPBE],"&gt;=1")&lt;Surplus_DD[[#This Row],[Index]],"",SMALL(Surplus[Surplus TPBE],Surplus_DD[[#This Row],[Index]]))</f>
        <v/>
      </c>
      <c r="AN11" s="46" t="str">
        <f>IF(Surplus_DD[[#This Row],[Surplus Index]]="","",INDEX(Surplus[TPBE],Surplus_DD[[#This Row],[Surplus Index]]))</f>
        <v/>
      </c>
      <c r="AO11" t="str">
        <f>IF(Surplus_DD[[#This Row],[Surplus Index]]="","",INDEX(Surplus[Functional Centre],Surplus_DD[[#This Row],[Surplus Index]]))</f>
        <v/>
      </c>
      <c r="AP11" s="28">
        <f>SUMIFS(Surplus[Surplus],Surplus[TPBE],Surplus_DD[[#This Row],[TPBE]],Surplus[Functional Centre],Surplus_DD[[#This Row],[FC]])</f>
        <v>0</v>
      </c>
      <c r="AR11">
        <f>ROW()-ROW(Surplus_DD_V2[[#Headers],[Index]])</f>
        <v>9</v>
      </c>
      <c r="AS11" t="str">
        <f>IF(Surplus_DD_V2[[#This Row],[Index]]&gt;COUNT(Surplus[Surplus Drop-Down]),"",IF(COUNTIFS(Surplus[Surplus TPBE],"&gt;=1")&lt;Surplus_DD_V2[[#This Row],[Index]],"",SMALL(Surplus[Surplus Drop-Down],Surplus_DD_V2[[#This Row],[Index]])))</f>
        <v/>
      </c>
      <c r="AT11" s="46" t="str">
        <f>IF(Surplus_DD_V2[[#This Row],[Surplus Index]]="","",INDEX(Surplus[TPBE],Surplus_DD_V2[[#This Row],[Surplus Index]]))</f>
        <v/>
      </c>
      <c r="AU11" t="str">
        <f>IF(Surplus_DD_V2[[#This Row],[Surplus Index]]="","",INDEX(Surplus[Functional Centre],Surplus_DD_V2[[#This Row],[Surplus Index]]))</f>
        <v/>
      </c>
      <c r="AV11" s="28">
        <f>SUMIFS(Surplus[Surplus],Surplus[TPBE],Surplus_DD_V2[[#This Row],[TPBE]],Surplus[Functional Centre],Surplus_DD_V2[[#This Row],[FC]])</f>
        <v>0</v>
      </c>
    </row>
    <row r="12" spans="1:48" x14ac:dyDescent="0.25">
      <c r="A12">
        <f>ROW()-ROW(TPBE[[#Headers],[Index]])</f>
        <v>10</v>
      </c>
      <c r="B12" t="s">
        <v>34</v>
      </c>
      <c r="D12" t="s">
        <v>35</v>
      </c>
      <c r="E12" t="s">
        <v>32</v>
      </c>
      <c r="F12" s="46"/>
      <c r="G12" s="46">
        <v>1</v>
      </c>
      <c r="M12" t="str">
        <f>IF(CHOOSE(MATCH(TPBE[[#This Row],[Group]],{"CHC","CSS","MHA","SH","OH-HC","POMS","SF"},0),Count_TPBE_CHC,Count_TPBE_CSS,Count_TPBE_MHA,Count_TPBE_SH,Count_TPBE_OHHC,Count_TPBE_POMS,Count_TPBE_SF)&gt;=1,TPBE[[#This Row],[Index]],"")</f>
        <v/>
      </c>
      <c r="N12" t="str">
        <f>IF(TPBE[[#This Row],[Index]]&gt;COUNT(TPBE[TPBE Surplus Check]),"",SMALL(TPBE[TPBE Surplus Check],TPBE[[#This Row],[Index]]))</f>
        <v/>
      </c>
      <c r="O12" t="str">
        <f>IF(TPBE[[#This Row],[Index]]&gt;COUNT(TPBE[TPBE Surplus Check]),"",INDEX(TPBE[TPBE],TPBE[[#This Row],[TPBE Surplus Index]]))</f>
        <v/>
      </c>
      <c r="P12" t="str">
        <f>IF(ISNUMBER(TPBE[[#This Row],[TPBE Surplus Index]]),INDEX(TPBE[Group Type],MATCH(TPBE[[#This Row],[TPBE Surplus List]],TPBE[TPBE],0)),"")</f>
        <v/>
      </c>
      <c r="Q12" t="str">
        <f>IF(TPBE[[#This Row],[Index]]&lt;=COUNTIFS(TPBE[TPBE Surplus Group Type],1),TPBE[[#This Row],[Index]],"")</f>
        <v/>
      </c>
      <c r="R12" t="str" cm="1">
        <f t="array" ref="R12">IF(ISNUMBER(TPBE[[#This Row],[TPBE Surplus Group Type]]),INDEX(_xlfn._xlws.FILTER(TPBE[TPBE Surplus List],NOT(ISNUMBER(MATCH(TPBE[TPBE Surplus List],{"POMS","SF"},0)))),TPBE[[#This Row],[Index]]),"")</f>
        <v/>
      </c>
      <c r="X12" t="s">
        <v>63</v>
      </c>
      <c r="Y12" t="s">
        <v>62</v>
      </c>
      <c r="Z12" t="str">
        <f>FCs[[#This Row],[FC Description]]&amp;" "&amp;FCs[[#This Row],[FC ID]]</f>
        <v>Case Management/Supportive Counselling &amp; Services - Addictions Supportive Housing 72 5 09 78 10</v>
      </c>
      <c r="AC12" t="s">
        <v>590</v>
      </c>
      <c r="AD12" s="25" t="s">
        <v>622</v>
      </c>
      <c r="AE12" s="25" t="s">
        <v>625</v>
      </c>
      <c r="AF12" t="s">
        <v>629</v>
      </c>
      <c r="AG12" t="str">
        <f>PROPER(Agencies[[#This Row],[HSP Name]])</f>
        <v>Canadian Mental Health Assoc (Cmha) York Region</v>
      </c>
      <c r="AH12" t="s">
        <v>633</v>
      </c>
      <c r="AJ12" t="s">
        <v>1016</v>
      </c>
      <c r="AL12">
        <f>ROW()-ROW(Surplus_DD[[#Headers],[Index]])</f>
        <v>10</v>
      </c>
      <c r="AM12" t="str">
        <f>IF(COUNTIFS(Surplus[Surplus TPBE],"&gt;=1")&lt;Surplus_DD[[#This Row],[Index]],"",SMALL(Surplus[Surplus TPBE],Surplus_DD[[#This Row],[Index]]))</f>
        <v/>
      </c>
      <c r="AN12" s="46" t="str">
        <f>IF(Surplus_DD[[#This Row],[Surplus Index]]="","",INDEX(Surplus[TPBE],Surplus_DD[[#This Row],[Surplus Index]]))</f>
        <v/>
      </c>
      <c r="AO12" t="str">
        <f>IF(Surplus_DD[[#This Row],[Surplus Index]]="","",INDEX(Surplus[Functional Centre],Surplus_DD[[#This Row],[Surplus Index]]))</f>
        <v/>
      </c>
      <c r="AP12" s="28">
        <f>SUMIFS(Surplus[Surplus],Surplus[TPBE],Surplus_DD[[#This Row],[TPBE]],Surplus[Functional Centre],Surplus_DD[[#This Row],[FC]])</f>
        <v>0</v>
      </c>
      <c r="AR12">
        <f>ROW()-ROW(Surplus_DD_V2[[#Headers],[Index]])</f>
        <v>10</v>
      </c>
      <c r="AS12" t="str">
        <f>IF(Surplus_DD_V2[[#This Row],[Index]]&gt;COUNT(Surplus[Surplus Drop-Down]),"",IF(COUNTIFS(Surplus[Surplus TPBE],"&gt;=1")&lt;Surplus_DD_V2[[#This Row],[Index]],"",SMALL(Surplus[Surplus Drop-Down],Surplus_DD_V2[[#This Row],[Index]])))</f>
        <v/>
      </c>
      <c r="AT12" s="46" t="str">
        <f>IF(Surplus_DD_V2[[#This Row],[Surplus Index]]="","",INDEX(Surplus[TPBE],Surplus_DD_V2[[#This Row],[Surplus Index]]))</f>
        <v/>
      </c>
      <c r="AU12" t="str">
        <f>IF(Surplus_DD_V2[[#This Row],[Surplus Index]]="","",INDEX(Surplus[Functional Centre],Surplus_DD_V2[[#This Row],[Surplus Index]]))</f>
        <v/>
      </c>
      <c r="AV12" s="28">
        <f>SUMIFS(Surplus[Surplus],Surplus[TPBE],Surplus_DD_V2[[#This Row],[TPBE]],Surplus[Functional Centre],Surplus_DD_V2[[#This Row],[FC]])</f>
        <v>0</v>
      </c>
    </row>
    <row r="13" spans="1:48" x14ac:dyDescent="0.25">
      <c r="A13">
        <f>ROW()-ROW(TPBE[[#Headers],[Index]])</f>
        <v>11</v>
      </c>
      <c r="B13" t="s">
        <v>36</v>
      </c>
      <c r="D13" t="s">
        <v>37</v>
      </c>
      <c r="E13" t="s">
        <v>1347</v>
      </c>
      <c r="F13" s="46"/>
      <c r="G13" s="46">
        <v>1</v>
      </c>
      <c r="M13" t="str">
        <f>IF(CHOOSE(MATCH(TPBE[[#This Row],[Group]],{"CHC","CSS","MHA","SH","OH-HC","POMS","SF"},0),Count_TPBE_CHC,Count_TPBE_CSS,Count_TPBE_MHA,Count_TPBE_SH,Count_TPBE_OHHC,Count_TPBE_POMS,Count_TPBE_SF)&gt;=1,TPBE[[#This Row],[Index]],"")</f>
        <v/>
      </c>
      <c r="N13" t="str">
        <f>IF(TPBE[[#This Row],[Index]]&gt;COUNT(TPBE[TPBE Surplus Check]),"",SMALL(TPBE[TPBE Surplus Check],TPBE[[#This Row],[Index]]))</f>
        <v/>
      </c>
      <c r="O13" t="str">
        <f>IF(TPBE[[#This Row],[Index]]&gt;COUNT(TPBE[TPBE Surplus Check]),"",INDEX(TPBE[TPBE],TPBE[[#This Row],[TPBE Surplus Index]]))</f>
        <v/>
      </c>
      <c r="P13" t="str">
        <f>IF(ISNUMBER(TPBE[[#This Row],[TPBE Surplus Index]]),INDEX(TPBE[Group Type],MATCH(TPBE[[#This Row],[TPBE Surplus List]],TPBE[TPBE],0)),"")</f>
        <v/>
      </c>
      <c r="Q13" t="str">
        <f>IF(TPBE[[#This Row],[Index]]&lt;=COUNTIFS(TPBE[TPBE Surplus Group Type],1),TPBE[[#This Row],[Index]],"")</f>
        <v/>
      </c>
      <c r="R13" t="str" cm="1">
        <f t="array" ref="R13">IF(ISNUMBER(TPBE[[#This Row],[TPBE Surplus Group Type]]),INDEX(_xlfn._xlws.FILTER(TPBE[TPBE Surplus List],NOT(ISNUMBER(MATCH(TPBE[TPBE Surplus List],{"POMS","SF"},0)))),TPBE[[#This Row],[Index]]),"")</f>
        <v/>
      </c>
      <c r="X13" t="s">
        <v>65</v>
      </c>
      <c r="Y13" t="s">
        <v>64</v>
      </c>
      <c r="Z13" t="str">
        <f>FCs[[#This Row],[FC Description]]&amp;" "&amp;FCs[[#This Row],[FC ID]]</f>
        <v>Case Management Addictions - Substance Abuse 72 5 09 78 11</v>
      </c>
      <c r="AC13" t="s">
        <v>590</v>
      </c>
      <c r="AD13" s="25" t="s">
        <v>623</v>
      </c>
      <c r="AE13" s="25" t="s">
        <v>626</v>
      </c>
      <c r="AF13" t="s">
        <v>630</v>
      </c>
      <c r="AG13" t="str">
        <f>PROPER(Agencies[[#This Row],[HSP Name]])</f>
        <v>Canadian Mental Health Association Toronto Branch</v>
      </c>
      <c r="AH13" t="s">
        <v>634</v>
      </c>
      <c r="AJ13" t="s">
        <v>1017</v>
      </c>
      <c r="AL13">
        <f>ROW()-ROW(Surplus_DD[[#Headers],[Index]])</f>
        <v>11</v>
      </c>
      <c r="AM13" t="str">
        <f>IF(COUNTIFS(Surplus[Surplus TPBE],"&gt;=1")&lt;Surplus_DD[[#This Row],[Index]],"",SMALL(Surplus[Surplus TPBE],Surplus_DD[[#This Row],[Index]]))</f>
        <v/>
      </c>
      <c r="AN13" s="46" t="str">
        <f>IF(Surplus_DD[[#This Row],[Surplus Index]]="","",INDEX(Surplus[TPBE],Surplus_DD[[#This Row],[Surplus Index]]))</f>
        <v/>
      </c>
      <c r="AO13" t="str">
        <f>IF(Surplus_DD[[#This Row],[Surplus Index]]="","",INDEX(Surplus[Functional Centre],Surplus_DD[[#This Row],[Surplus Index]]))</f>
        <v/>
      </c>
      <c r="AP13" s="28">
        <f>SUMIFS(Surplus[Surplus],Surplus[TPBE],Surplus_DD[[#This Row],[TPBE]],Surplus[Functional Centre],Surplus_DD[[#This Row],[FC]])</f>
        <v>0</v>
      </c>
      <c r="AR13">
        <f>ROW()-ROW(Surplus_DD_V2[[#Headers],[Index]])</f>
        <v>11</v>
      </c>
      <c r="AS13" t="str">
        <f>IF(Surplus_DD_V2[[#This Row],[Index]]&gt;COUNT(Surplus[Surplus Drop-Down]),"",IF(COUNTIFS(Surplus[Surplus TPBE],"&gt;=1")&lt;Surplus_DD_V2[[#This Row],[Index]],"",SMALL(Surplus[Surplus Drop-Down],Surplus_DD_V2[[#This Row],[Index]])))</f>
        <v/>
      </c>
      <c r="AT13" s="46" t="str">
        <f>IF(Surplus_DD_V2[[#This Row],[Surplus Index]]="","",INDEX(Surplus[TPBE],Surplus_DD_V2[[#This Row],[Surplus Index]]))</f>
        <v/>
      </c>
      <c r="AU13" t="str">
        <f>IF(Surplus_DD_V2[[#This Row],[Surplus Index]]="","",INDEX(Surplus[Functional Centre],Surplus_DD_V2[[#This Row],[Surplus Index]]))</f>
        <v/>
      </c>
      <c r="AV13" s="28">
        <f>SUMIFS(Surplus[Surplus],Surplus[TPBE],Surplus_DD_V2[[#This Row],[TPBE]],Surplus[Functional Centre],Surplus_DD_V2[[#This Row],[FC]])</f>
        <v>0</v>
      </c>
    </row>
    <row r="14" spans="1:48" x14ac:dyDescent="0.25">
      <c r="A14">
        <f>ROW()-ROW(TPBE[[#Headers],[Index]])</f>
        <v>12</v>
      </c>
      <c r="B14" t="s">
        <v>1386</v>
      </c>
      <c r="D14" t="s">
        <v>1377</v>
      </c>
      <c r="E14" t="s">
        <v>1386</v>
      </c>
      <c r="F14" s="46"/>
      <c r="G14" s="46">
        <v>2</v>
      </c>
      <c r="M14" t="str">
        <f>IF(CHOOSE(MATCH(TPBE[[#This Row],[Group]],{"CHC","CSS","MHA","SH","OH-HC","POMS","SF"},0),Count_TPBE_CHC,Count_TPBE_CSS,Count_TPBE_MHA,Count_TPBE_SH,Count_TPBE_OHHC,Count_TPBE_POMS,Count_TPBE_SF)&gt;=1,TPBE[[#This Row],[Index]],"")</f>
        <v/>
      </c>
      <c r="N14" t="str">
        <f>IF(TPBE[[#This Row],[Index]]&gt;COUNT(TPBE[TPBE Surplus Check]),"",SMALL(TPBE[TPBE Surplus Check],TPBE[[#This Row],[Index]]))</f>
        <v/>
      </c>
      <c r="O14" t="str">
        <f>IF(TPBE[[#This Row],[Index]]&gt;COUNT(TPBE[TPBE Surplus Check]),"",INDEX(TPBE[TPBE],TPBE[[#This Row],[TPBE Surplus Index]]))</f>
        <v/>
      </c>
      <c r="P14" t="str">
        <f>IF(ISNUMBER(TPBE[[#This Row],[TPBE Surplus Index]]),INDEX(TPBE[Group Type],MATCH(TPBE[[#This Row],[TPBE Surplus List]],TPBE[TPBE],0)),"")</f>
        <v/>
      </c>
      <c r="Q14" t="str">
        <f>IF(TPBE[[#This Row],[Index]]&lt;=COUNTIFS(TPBE[TPBE Surplus Group Type],1),TPBE[[#This Row],[Index]],"")</f>
        <v/>
      </c>
      <c r="R14" t="str" cm="1">
        <f t="array" ref="R14">IF(ISNUMBER(TPBE[[#This Row],[TPBE Surplus Group Type]]),INDEX(_xlfn._xlws.FILTER(TPBE[TPBE Surplus List],NOT(ISNUMBER(MATCH(TPBE[TPBE Surplus List],{"POMS","SF"},0)))),TPBE[[#This Row],[Index]]),"")</f>
        <v/>
      </c>
      <c r="X14" t="s">
        <v>67</v>
      </c>
      <c r="Y14" t="s">
        <v>66</v>
      </c>
      <c r="Z14" t="str">
        <f>FCs[[#This Row],[FC Description]]&amp;" "&amp;FCs[[#This Row],[FC ID]]</f>
        <v>Clinics/Programs - Primary Care Practice 72 5 10 05</v>
      </c>
      <c r="AC14" t="s">
        <v>590</v>
      </c>
      <c r="AD14" s="25">
        <v>4108</v>
      </c>
      <c r="AE14" s="25" t="s">
        <v>627</v>
      </c>
      <c r="AF14" t="s">
        <v>631</v>
      </c>
      <c r="AG14" t="str">
        <f>PROPER(Agencies[[#This Row],[HSP Name]])</f>
        <v>Carefirst Seniors And Community Services Association</v>
      </c>
      <c r="AH14" t="s">
        <v>635</v>
      </c>
      <c r="AJ14" t="s">
        <v>1018</v>
      </c>
      <c r="AL14">
        <f>ROW()-ROW(Surplus_DD[[#Headers],[Index]])</f>
        <v>12</v>
      </c>
      <c r="AM14" t="str">
        <f>IF(COUNTIFS(Surplus[Surplus TPBE],"&gt;=1")&lt;Surplus_DD[[#This Row],[Index]],"",SMALL(Surplus[Surplus TPBE],Surplus_DD[[#This Row],[Index]]))</f>
        <v/>
      </c>
      <c r="AN14" s="46" t="str">
        <f>IF(Surplus_DD[[#This Row],[Surplus Index]]="","",INDEX(Surplus[TPBE],Surplus_DD[[#This Row],[Surplus Index]]))</f>
        <v/>
      </c>
      <c r="AO14" t="str">
        <f>IF(Surplus_DD[[#This Row],[Surplus Index]]="","",INDEX(Surplus[Functional Centre],Surplus_DD[[#This Row],[Surplus Index]]))</f>
        <v/>
      </c>
      <c r="AP14" s="28">
        <f>SUMIFS(Surplus[Surplus],Surplus[TPBE],Surplus_DD[[#This Row],[TPBE]],Surplus[Functional Centre],Surplus_DD[[#This Row],[FC]])</f>
        <v>0</v>
      </c>
      <c r="AR14">
        <f>ROW()-ROW(Surplus_DD_V2[[#Headers],[Index]])</f>
        <v>12</v>
      </c>
      <c r="AS14" t="str">
        <f>IF(Surplus_DD_V2[[#This Row],[Index]]&gt;COUNT(Surplus[Surplus Drop-Down]),"",IF(COUNTIFS(Surplus[Surplus TPBE],"&gt;=1")&lt;Surplus_DD_V2[[#This Row],[Index]],"",SMALL(Surplus[Surplus Drop-Down],Surplus_DD_V2[[#This Row],[Index]])))</f>
        <v/>
      </c>
      <c r="AT14" s="46" t="str">
        <f>IF(Surplus_DD_V2[[#This Row],[Surplus Index]]="","",INDEX(Surplus[TPBE],Surplus_DD_V2[[#This Row],[Surplus Index]]))</f>
        <v/>
      </c>
      <c r="AU14" t="str">
        <f>IF(Surplus_DD_V2[[#This Row],[Surplus Index]]="","",INDEX(Surplus[Functional Centre],Surplus_DD_V2[[#This Row],[Surplus Index]]))</f>
        <v/>
      </c>
      <c r="AV14" s="28">
        <f>SUMIFS(Surplus[Surplus],Surplus[TPBE],Surplus_DD_V2[[#This Row],[TPBE]],Surplus[Functional Centre],Surplus_DD_V2[[#This Row],[FC]])</f>
        <v>0</v>
      </c>
    </row>
    <row r="15" spans="1:48" x14ac:dyDescent="0.25">
      <c r="A15">
        <f>ROW()-ROW(TPBE[[#Headers],[Index]])</f>
        <v>13</v>
      </c>
      <c r="B15" t="s">
        <v>38</v>
      </c>
      <c r="D15" t="s">
        <v>39</v>
      </c>
      <c r="E15" t="s">
        <v>1347</v>
      </c>
      <c r="F15" s="46"/>
      <c r="G15" s="46">
        <v>1</v>
      </c>
      <c r="M15" t="str">
        <f>IF(CHOOSE(MATCH(TPBE[[#This Row],[Group]],{"CHC","CSS","MHA","SH","OH-HC","POMS","SF"},0),Count_TPBE_CHC,Count_TPBE_CSS,Count_TPBE_MHA,Count_TPBE_SH,Count_TPBE_OHHC,Count_TPBE_POMS,Count_TPBE_SF)&gt;=1,TPBE[[#This Row],[Index]],"")</f>
        <v/>
      </c>
      <c r="N15" t="str">
        <f>IF(TPBE[[#This Row],[Index]]&gt;COUNT(TPBE[TPBE Surplus Check]),"",SMALL(TPBE[TPBE Surplus Check],TPBE[[#This Row],[Index]]))</f>
        <v/>
      </c>
      <c r="O15" t="str">
        <f>IF(TPBE[[#This Row],[Index]]&gt;COUNT(TPBE[TPBE Surplus Check]),"",INDEX(TPBE[TPBE],TPBE[[#This Row],[TPBE Surplus Index]]))</f>
        <v/>
      </c>
      <c r="P15" t="str">
        <f>IF(ISNUMBER(TPBE[[#This Row],[TPBE Surplus Index]]),INDEX(TPBE[Group Type],MATCH(TPBE[[#This Row],[TPBE Surplus List]],TPBE[TPBE],0)),"")</f>
        <v/>
      </c>
      <c r="Q15" t="str">
        <f>IF(TPBE[[#This Row],[Index]]&lt;=COUNTIFS(TPBE[TPBE Surplus Group Type],1),TPBE[[#This Row],[Index]],"")</f>
        <v/>
      </c>
      <c r="R15" t="str" cm="1">
        <f t="array" ref="R15">IF(ISNUMBER(TPBE[[#This Row],[TPBE Surplus Group Type]]),INDEX(_xlfn._xlws.FILTER(TPBE[TPBE Surplus List],NOT(ISNUMBER(MATCH(TPBE[TPBE Surplus List],{"POMS","SF"},0)))),TPBE[[#This Row],[Index]]),"")</f>
        <v/>
      </c>
      <c r="X15" t="s">
        <v>69</v>
      </c>
      <c r="Y15" t="s">
        <v>68</v>
      </c>
      <c r="Z15" t="str">
        <f>FCs[[#This Row],[FC Description]]&amp;" "&amp;FCs[[#This Row],[FC ID]]</f>
        <v>Clinics/Programs - Walk In Clinic 72 5 10 10</v>
      </c>
      <c r="AC15" t="s">
        <v>590</v>
      </c>
      <c r="AD15" s="25" t="s">
        <v>636</v>
      </c>
      <c r="AE15" s="25" t="s">
        <v>639</v>
      </c>
      <c r="AF15" t="s">
        <v>642</v>
      </c>
      <c r="AG15" t="str">
        <f>PROPER(Agencies[[#This Row],[HSP Name]])</f>
        <v>Caritas School Of Life</v>
      </c>
      <c r="AH15" t="s">
        <v>645</v>
      </c>
      <c r="AJ15" t="s">
        <v>1019</v>
      </c>
      <c r="AL15">
        <f>ROW()-ROW(Surplus_DD[[#Headers],[Index]])</f>
        <v>13</v>
      </c>
      <c r="AM15" t="str">
        <f>IF(COUNTIFS(Surplus[Surplus TPBE],"&gt;=1")&lt;Surplus_DD[[#This Row],[Index]],"",SMALL(Surplus[Surplus TPBE],Surplus_DD[[#This Row],[Index]]))</f>
        <v/>
      </c>
      <c r="AN15" s="46" t="str">
        <f>IF(Surplus_DD[[#This Row],[Surplus Index]]="","",INDEX(Surplus[TPBE],Surplus_DD[[#This Row],[Surplus Index]]))</f>
        <v/>
      </c>
      <c r="AO15" t="str">
        <f>IF(Surplus_DD[[#This Row],[Surplus Index]]="","",INDEX(Surplus[Functional Centre],Surplus_DD[[#This Row],[Surplus Index]]))</f>
        <v/>
      </c>
      <c r="AP15" s="28">
        <f>SUMIFS(Surplus[Surplus],Surplus[TPBE],Surplus_DD[[#This Row],[TPBE]],Surplus[Functional Centre],Surplus_DD[[#This Row],[FC]])</f>
        <v>0</v>
      </c>
      <c r="AR15">
        <f>ROW()-ROW(Surplus_DD_V2[[#Headers],[Index]])</f>
        <v>13</v>
      </c>
      <c r="AS15" t="str">
        <f>IF(Surplus_DD_V2[[#This Row],[Index]]&gt;COUNT(Surplus[Surplus Drop-Down]),"",IF(COUNTIFS(Surplus[Surplus TPBE],"&gt;=1")&lt;Surplus_DD_V2[[#This Row],[Index]],"",SMALL(Surplus[Surplus Drop-Down],Surplus_DD_V2[[#This Row],[Index]])))</f>
        <v/>
      </c>
      <c r="AT15" s="46" t="str">
        <f>IF(Surplus_DD_V2[[#This Row],[Surplus Index]]="","",INDEX(Surplus[TPBE],Surplus_DD_V2[[#This Row],[Surplus Index]]))</f>
        <v/>
      </c>
      <c r="AU15" t="str">
        <f>IF(Surplus_DD_V2[[#This Row],[Surplus Index]]="","",INDEX(Surplus[Functional Centre],Surplus_DD_V2[[#This Row],[Surplus Index]]))</f>
        <v/>
      </c>
      <c r="AV15" s="28">
        <f>SUMIFS(Surplus[Surplus],Surplus[TPBE],Surplus_DD_V2[[#This Row],[TPBE]],Surplus[Functional Centre],Surplus_DD_V2[[#This Row],[FC]])</f>
        <v>0</v>
      </c>
    </row>
    <row r="16" spans="1:48" x14ac:dyDescent="0.25">
      <c r="A16">
        <f>ROW()-ROW(TPBE[[#Headers],[Index]])</f>
        <v>14</v>
      </c>
      <c r="B16" t="s">
        <v>1387</v>
      </c>
      <c r="D16" t="s">
        <v>1379</v>
      </c>
      <c r="E16" t="s">
        <v>1387</v>
      </c>
      <c r="F16" s="46"/>
      <c r="G16" s="46">
        <v>2</v>
      </c>
      <c r="M16" t="str">
        <f>IF(CHOOSE(MATCH(TPBE[[#This Row],[Group]],{"CHC","CSS","MHA","SH","OH-HC","POMS","SF"},0),Count_TPBE_CHC,Count_TPBE_CSS,Count_TPBE_MHA,Count_TPBE_SH,Count_TPBE_OHHC,Count_TPBE_POMS,Count_TPBE_SF)&gt;=1,TPBE[[#This Row],[Index]],"")</f>
        <v/>
      </c>
      <c r="N16" t="str">
        <f>IF(TPBE[[#This Row],[Index]]&gt;COUNT(TPBE[TPBE Surplus Check]),"",SMALL(TPBE[TPBE Surplus Check],TPBE[[#This Row],[Index]]))</f>
        <v/>
      </c>
      <c r="O16" t="str">
        <f>IF(TPBE[[#This Row],[Index]]&gt;COUNT(TPBE[TPBE Surplus Check]),"",INDEX(TPBE[TPBE],TPBE[[#This Row],[TPBE Surplus Index]]))</f>
        <v/>
      </c>
      <c r="P16" t="str">
        <f>IF(ISNUMBER(TPBE[[#This Row],[TPBE Surplus Index]]),INDEX(TPBE[Group Type],MATCH(TPBE[[#This Row],[TPBE Surplus List]],TPBE[TPBE],0)),"")</f>
        <v/>
      </c>
      <c r="Q16" t="str">
        <f>IF(TPBE[[#This Row],[Index]]&lt;=COUNTIFS(TPBE[TPBE Surplus Group Type],1),TPBE[[#This Row],[Index]],"")</f>
        <v/>
      </c>
      <c r="R16" t="str" cm="1">
        <f t="array" ref="R16">IF(ISNUMBER(TPBE[[#This Row],[TPBE Surplus Group Type]]),INDEX(_xlfn._xlws.FILTER(TPBE[TPBE Surplus List],NOT(ISNUMBER(MATCH(TPBE[TPBE Surplus List],{"POMS","SF"},0)))),TPBE[[#This Row],[Index]]),"")</f>
        <v/>
      </c>
      <c r="X16" t="s">
        <v>71</v>
      </c>
      <c r="Y16" t="s">
        <v>70</v>
      </c>
      <c r="Z16" t="str">
        <f>FCs[[#This Row],[FC Description]]&amp;" "&amp;FCs[[#This Row],[FC ID]]</f>
        <v>Clinics/Programs - Nursing Clinic 72 5 10 15</v>
      </c>
      <c r="AC16" t="s">
        <v>590</v>
      </c>
      <c r="AD16" s="25" t="s">
        <v>637</v>
      </c>
      <c r="AE16" s="25" t="s">
        <v>640</v>
      </c>
      <c r="AF16" t="s">
        <v>643</v>
      </c>
      <c r="AG16" t="str">
        <f>PROPER(Agencies[[#This Row],[HSP Name]])</f>
        <v>Cedar Centre</v>
      </c>
      <c r="AH16" t="s">
        <v>646</v>
      </c>
      <c r="AL16">
        <f>ROW()-ROW(Surplus_DD[[#Headers],[Index]])</f>
        <v>14</v>
      </c>
      <c r="AM16" t="str">
        <f>IF(COUNTIFS(Surplus[Surplus TPBE],"&gt;=1")&lt;Surplus_DD[[#This Row],[Index]],"",SMALL(Surplus[Surplus TPBE],Surplus_DD[[#This Row],[Index]]))</f>
        <v/>
      </c>
      <c r="AN16" s="46" t="str">
        <f>IF(Surplus_DD[[#This Row],[Surplus Index]]="","",INDEX(Surplus[TPBE],Surplus_DD[[#This Row],[Surplus Index]]))</f>
        <v/>
      </c>
      <c r="AO16" t="str">
        <f>IF(Surplus_DD[[#This Row],[Surplus Index]]="","",INDEX(Surplus[Functional Centre],Surplus_DD[[#This Row],[Surplus Index]]))</f>
        <v/>
      </c>
      <c r="AP16" s="28">
        <f>SUMIFS(Surplus[Surplus],Surplus[TPBE],Surplus_DD[[#This Row],[TPBE]],Surplus[Functional Centre],Surplus_DD[[#This Row],[FC]])</f>
        <v>0</v>
      </c>
      <c r="AR16">
        <f>ROW()-ROW(Surplus_DD_V2[[#Headers],[Index]])</f>
        <v>14</v>
      </c>
      <c r="AS16" t="str">
        <f>IF(Surplus_DD_V2[[#This Row],[Index]]&gt;COUNT(Surplus[Surplus Drop-Down]),"",IF(COUNTIFS(Surplus[Surplus TPBE],"&gt;=1")&lt;Surplus_DD_V2[[#This Row],[Index]],"",SMALL(Surplus[Surplus Drop-Down],Surplus_DD_V2[[#This Row],[Index]])))</f>
        <v/>
      </c>
      <c r="AT16" s="46" t="str">
        <f>IF(Surplus_DD_V2[[#This Row],[Surplus Index]]="","",INDEX(Surplus[TPBE],Surplus_DD_V2[[#This Row],[Surplus Index]]))</f>
        <v/>
      </c>
      <c r="AU16" t="str">
        <f>IF(Surplus_DD_V2[[#This Row],[Surplus Index]]="","",INDEX(Surplus[Functional Centre],Surplus_DD_V2[[#This Row],[Surplus Index]]))</f>
        <v/>
      </c>
      <c r="AV16" s="28">
        <f>SUMIFS(Surplus[Surplus],Surplus[TPBE],Surplus_DD_V2[[#This Row],[TPBE]],Surplus[Functional Centre],Surplus_DD_V2[[#This Row],[FC]])</f>
        <v>0</v>
      </c>
    </row>
    <row r="17" spans="1:48" x14ac:dyDescent="0.25">
      <c r="A17">
        <f>ROW()-ROW(TPBE[[#Headers],[Index]])</f>
        <v>15</v>
      </c>
      <c r="B17" t="s">
        <v>40</v>
      </c>
      <c r="D17" t="s">
        <v>41</v>
      </c>
      <c r="E17" t="s">
        <v>40</v>
      </c>
      <c r="F17" s="46"/>
      <c r="G17" s="46">
        <v>1</v>
      </c>
      <c r="M17" t="str">
        <f>IF(CHOOSE(MATCH(TPBE[[#This Row],[Group]],{"CHC","CSS","MHA","SH","OH-HC","POMS","SF"},0),Count_TPBE_CHC,Count_TPBE_CSS,Count_TPBE_MHA,Count_TPBE_SH,Count_TPBE_OHHC,Count_TPBE_POMS,Count_TPBE_SF)&gt;=1,TPBE[[#This Row],[Index]],"")</f>
        <v/>
      </c>
      <c r="N17" t="str">
        <f>IF(TPBE[[#This Row],[Index]]&gt;COUNT(TPBE[TPBE Surplus Check]),"",SMALL(TPBE[TPBE Surplus Check],TPBE[[#This Row],[Index]]))</f>
        <v/>
      </c>
      <c r="O17" t="str">
        <f>IF(TPBE[[#This Row],[Index]]&gt;COUNT(TPBE[TPBE Surplus Check]),"",INDEX(TPBE[TPBE],TPBE[[#This Row],[TPBE Surplus Index]]))</f>
        <v/>
      </c>
      <c r="P17" t="str">
        <f>IF(ISNUMBER(TPBE[[#This Row],[TPBE Surplus Index]]),INDEX(TPBE[Group Type],MATCH(TPBE[[#This Row],[TPBE Surplus List]],TPBE[TPBE],0)),"")</f>
        <v/>
      </c>
      <c r="Q17" t="str">
        <f>IF(TPBE[[#This Row],[Index]]&lt;=COUNTIFS(TPBE[TPBE Surplus Group Type],1),TPBE[[#This Row],[Index]],"")</f>
        <v/>
      </c>
      <c r="R17" t="str" cm="1">
        <f t="array" ref="R17">IF(ISNUMBER(TPBE[[#This Row],[TPBE Surplus Group Type]]),INDEX(_xlfn._xlws.FILTER(TPBE[TPBE Surplus List],NOT(ISNUMBER(MATCH(TPBE[TPBE Surplus List],{"POMS","SF"},0)))),TPBE[[#This Row],[Index]]),"")</f>
        <v/>
      </c>
      <c r="X17" t="s">
        <v>73</v>
      </c>
      <c r="Y17" t="s">
        <v>72</v>
      </c>
      <c r="Z17" t="str">
        <f>FCs[[#This Row],[FC Description]]&amp;" "&amp;FCs[[#This Row],[FC ID]]</f>
        <v>Clinics/Programs - General Clinic 72 5 10 20</v>
      </c>
      <c r="AC17" t="s">
        <v>590</v>
      </c>
      <c r="AD17" s="25" t="s">
        <v>638</v>
      </c>
      <c r="AE17" s="25" t="s">
        <v>641</v>
      </c>
      <c r="AF17" t="s">
        <v>644</v>
      </c>
      <c r="AG17" t="str">
        <f>PROPER(Agencies[[#This Row],[HSP Name]])</f>
        <v>Cerebral Palsy Parent Council Of Toronto</v>
      </c>
      <c r="AH17" t="s">
        <v>647</v>
      </c>
      <c r="AL17">
        <f>ROW()-ROW(Surplus_DD[[#Headers],[Index]])</f>
        <v>15</v>
      </c>
      <c r="AM17" t="str">
        <f>IF(COUNTIFS(Surplus[Surplus TPBE],"&gt;=1")&lt;Surplus_DD[[#This Row],[Index]],"",SMALL(Surplus[Surplus TPBE],Surplus_DD[[#This Row],[Index]]))</f>
        <v/>
      </c>
      <c r="AN17" s="46" t="str">
        <f>IF(Surplus_DD[[#This Row],[Surplus Index]]="","",INDEX(Surplus[TPBE],Surplus_DD[[#This Row],[Surplus Index]]))</f>
        <v/>
      </c>
      <c r="AO17" t="str">
        <f>IF(Surplus_DD[[#This Row],[Surplus Index]]="","",INDEX(Surplus[Functional Centre],Surplus_DD[[#This Row],[Surplus Index]]))</f>
        <v/>
      </c>
      <c r="AP17" s="28">
        <f>SUMIFS(Surplus[Surplus],Surplus[TPBE],Surplus_DD[[#This Row],[TPBE]],Surplus[Functional Centre],Surplus_DD[[#This Row],[FC]])</f>
        <v>0</v>
      </c>
      <c r="AR17">
        <f>ROW()-ROW(Surplus_DD_V2[[#Headers],[Index]])</f>
        <v>15</v>
      </c>
      <c r="AS17" t="str">
        <f>IF(Surplus_DD_V2[[#This Row],[Index]]&gt;COUNT(Surplus[Surplus Drop-Down]),"",IF(COUNTIFS(Surplus[Surplus TPBE],"&gt;=1")&lt;Surplus_DD_V2[[#This Row],[Index]],"",SMALL(Surplus[Surplus Drop-Down],Surplus_DD_V2[[#This Row],[Index]])))</f>
        <v/>
      </c>
      <c r="AT17" s="46" t="str">
        <f>IF(Surplus_DD_V2[[#This Row],[Surplus Index]]="","",INDEX(Surplus[TPBE],Surplus_DD_V2[[#This Row],[Surplus Index]]))</f>
        <v/>
      </c>
      <c r="AU17" t="str">
        <f>IF(Surplus_DD_V2[[#This Row],[Surplus Index]]="","",INDEX(Surplus[Functional Centre],Surplus_DD_V2[[#This Row],[Surplus Index]]))</f>
        <v/>
      </c>
      <c r="AV17" s="28">
        <f>SUMIFS(Surplus[Surplus],Surplus[TPBE],Surplus_DD_V2[[#This Row],[TPBE]],Surplus[Functional Centre],Surplus_DD_V2[[#This Row],[FC]])</f>
        <v>0</v>
      </c>
    </row>
    <row r="18" spans="1:48" x14ac:dyDescent="0.25">
      <c r="X18" t="s">
        <v>75</v>
      </c>
      <c r="Y18" t="s">
        <v>74</v>
      </c>
      <c r="Z18" t="str">
        <f>FCs[[#This Row],[FC Description]]&amp;" "&amp;FCs[[#This Row],[FC ID]]</f>
        <v>Clinics/Programs - Combined Clinic 72 5 10 30</v>
      </c>
      <c r="AC18" t="s">
        <v>590</v>
      </c>
      <c r="AD18" s="25" t="s">
        <v>648</v>
      </c>
      <c r="AE18" s="25" t="s">
        <v>654</v>
      </c>
      <c r="AF18" t="s">
        <v>660</v>
      </c>
      <c r="AG18" t="str">
        <f>PROPER(Agencies[[#This Row],[HSP Name]])</f>
        <v>Chippewas Of Georgina Island</v>
      </c>
      <c r="AH18" t="s">
        <v>666</v>
      </c>
      <c r="AL18">
        <f>ROW()-ROW(Surplus_DD[[#Headers],[Index]])</f>
        <v>16</v>
      </c>
      <c r="AM18" t="str">
        <f>IF(COUNTIFS(Surplus[Surplus TPBE],"&gt;=1")&lt;Surplus_DD[[#This Row],[Index]],"",SMALL(Surplus[Surplus TPBE],Surplus_DD[[#This Row],[Index]]))</f>
        <v/>
      </c>
      <c r="AN18" s="46" t="str">
        <f>IF(Surplus_DD[[#This Row],[Surplus Index]]="","",INDEX(Surplus[TPBE],Surplus_DD[[#This Row],[Surplus Index]]))</f>
        <v/>
      </c>
      <c r="AO18" t="str">
        <f>IF(Surplus_DD[[#This Row],[Surplus Index]]="","",INDEX(Surplus[Functional Centre],Surplus_DD[[#This Row],[Surplus Index]]))</f>
        <v/>
      </c>
      <c r="AP18" s="28">
        <f>SUMIFS(Surplus[Surplus],Surplus[TPBE],Surplus_DD[[#This Row],[TPBE]],Surplus[Functional Centre],Surplus_DD[[#This Row],[FC]])</f>
        <v>0</v>
      </c>
      <c r="AR18">
        <f>ROW()-ROW(Surplus_DD_V2[[#Headers],[Index]])</f>
        <v>16</v>
      </c>
      <c r="AS18" t="str">
        <f>IF(Surplus_DD_V2[[#This Row],[Index]]&gt;COUNT(Surplus[Surplus Drop-Down]),"",IF(COUNTIFS(Surplus[Surplus TPBE],"&gt;=1")&lt;Surplus_DD_V2[[#This Row],[Index]],"",SMALL(Surplus[Surplus Drop-Down],Surplus_DD_V2[[#This Row],[Index]])))</f>
        <v/>
      </c>
      <c r="AT18" s="46" t="str">
        <f>IF(Surplus_DD_V2[[#This Row],[Surplus Index]]="","",INDEX(Surplus[TPBE],Surplus_DD_V2[[#This Row],[Surplus Index]]))</f>
        <v/>
      </c>
      <c r="AU18" t="str">
        <f>IF(Surplus_DD_V2[[#This Row],[Surplus Index]]="","",INDEX(Surplus[Functional Centre],Surplus_DD_V2[[#This Row],[Surplus Index]]))</f>
        <v/>
      </c>
      <c r="AV18" s="28">
        <f>SUMIFS(Surplus[Surplus],Surplus[TPBE],Surplus_DD_V2[[#This Row],[TPBE]],Surplus[Functional Centre],Surplus_DD_V2[[#This Row],[FC]])</f>
        <v>0</v>
      </c>
    </row>
    <row r="19" spans="1:48" x14ac:dyDescent="0.25">
      <c r="X19" t="s">
        <v>77</v>
      </c>
      <c r="Y19" t="s">
        <v>76</v>
      </c>
      <c r="Z19" t="str">
        <f>FCs[[#This Row],[FC Description]]&amp;" "&amp;FCs[[#This Row],[FC ID]]</f>
        <v>Clinics/Programs - Therapy Clinic - General 72 5 10 40 10</v>
      </c>
      <c r="AC19" t="s">
        <v>590</v>
      </c>
      <c r="AD19" s="25" t="s">
        <v>649</v>
      </c>
      <c r="AE19" s="25" t="s">
        <v>655</v>
      </c>
      <c r="AF19" t="s">
        <v>661</v>
      </c>
      <c r="AG19" t="str">
        <f>PROPER(Agencies[[#This Row],[HSP Name]])</f>
        <v>Circle Of Home Care Services (Toronto)</v>
      </c>
      <c r="AH19" t="s">
        <v>667</v>
      </c>
      <c r="AL19">
        <f>ROW()-ROW(Surplus_DD[[#Headers],[Index]])</f>
        <v>17</v>
      </c>
      <c r="AM19" t="str">
        <f>IF(COUNTIFS(Surplus[Surplus TPBE],"&gt;=1")&lt;Surplus_DD[[#This Row],[Index]],"",SMALL(Surplus[Surplus TPBE],Surplus_DD[[#This Row],[Index]]))</f>
        <v/>
      </c>
      <c r="AN19" s="46" t="str">
        <f>IF(Surplus_DD[[#This Row],[Surplus Index]]="","",INDEX(Surplus[TPBE],Surplus_DD[[#This Row],[Surplus Index]]))</f>
        <v/>
      </c>
      <c r="AO19" t="str">
        <f>IF(Surplus_DD[[#This Row],[Surplus Index]]="","",INDEX(Surplus[Functional Centre],Surplus_DD[[#This Row],[Surplus Index]]))</f>
        <v/>
      </c>
      <c r="AP19" s="28">
        <f>SUMIFS(Surplus[Surplus],Surplus[TPBE],Surplus_DD[[#This Row],[TPBE]],Surplus[Functional Centre],Surplus_DD[[#This Row],[FC]])</f>
        <v>0</v>
      </c>
      <c r="AR19">
        <f>ROW()-ROW(Surplus_DD_V2[[#Headers],[Index]])</f>
        <v>17</v>
      </c>
      <c r="AS19" t="str">
        <f>IF(Surplus_DD_V2[[#This Row],[Index]]&gt;COUNT(Surplus[Surplus Drop-Down]),"",IF(COUNTIFS(Surplus[Surplus TPBE],"&gt;=1")&lt;Surplus_DD_V2[[#This Row],[Index]],"",SMALL(Surplus[Surplus Drop-Down],Surplus_DD_V2[[#This Row],[Index]])))</f>
        <v/>
      </c>
      <c r="AT19" s="46" t="str">
        <f>IF(Surplus_DD_V2[[#This Row],[Surplus Index]]="","",INDEX(Surplus[TPBE],Surplus_DD_V2[[#This Row],[Surplus Index]]))</f>
        <v/>
      </c>
      <c r="AU19" t="str">
        <f>IF(Surplus_DD_V2[[#This Row],[Surplus Index]]="","",INDEX(Surplus[Functional Centre],Surplus_DD_V2[[#This Row],[Surplus Index]]))</f>
        <v/>
      </c>
      <c r="AV19" s="28">
        <f>SUMIFS(Surplus[Surplus],Surplus[TPBE],Surplus_DD_V2[[#This Row],[TPBE]],Surplus[Functional Centre],Surplus_DD_V2[[#This Row],[FC]])</f>
        <v>0</v>
      </c>
    </row>
    <row r="20" spans="1:48" x14ac:dyDescent="0.25">
      <c r="X20" t="s">
        <v>79</v>
      </c>
      <c r="Y20" t="s">
        <v>78</v>
      </c>
      <c r="Z20" t="str">
        <f>FCs[[#This Row],[FC Description]]&amp;" "&amp;FCs[[#This Row],[FC ID]]</f>
        <v>Clinics/Programs - Therapy Clinic - Foot Care 72 5 10 40 20</v>
      </c>
      <c r="AC20" t="s">
        <v>590</v>
      </c>
      <c r="AD20" s="25" t="s">
        <v>650</v>
      </c>
      <c r="AE20" s="25" t="s">
        <v>656</v>
      </c>
      <c r="AF20" t="s">
        <v>662</v>
      </c>
      <c r="AG20" t="str">
        <f>PROPER(Agencies[[#This Row],[HSP Name]])</f>
        <v>City Of Toronto</v>
      </c>
      <c r="AH20" t="s">
        <v>668</v>
      </c>
      <c r="AL20">
        <f>ROW()-ROW(Surplus_DD[[#Headers],[Index]])</f>
        <v>18</v>
      </c>
      <c r="AM20" t="str">
        <f>IF(COUNTIFS(Surplus[Surplus TPBE],"&gt;=1")&lt;Surplus_DD[[#This Row],[Index]],"",SMALL(Surplus[Surplus TPBE],Surplus_DD[[#This Row],[Index]]))</f>
        <v/>
      </c>
      <c r="AN20" s="46" t="str">
        <f>IF(Surplus_DD[[#This Row],[Surplus Index]]="","",INDEX(Surplus[TPBE],Surplus_DD[[#This Row],[Surplus Index]]))</f>
        <v/>
      </c>
      <c r="AO20" t="str">
        <f>IF(Surplus_DD[[#This Row],[Surplus Index]]="","",INDEX(Surplus[Functional Centre],Surplus_DD[[#This Row],[Surplus Index]]))</f>
        <v/>
      </c>
      <c r="AP20" s="28">
        <f>SUMIFS(Surplus[Surplus],Surplus[TPBE],Surplus_DD[[#This Row],[TPBE]],Surplus[Functional Centre],Surplus_DD[[#This Row],[FC]])</f>
        <v>0</v>
      </c>
      <c r="AR20">
        <f>ROW()-ROW(Surplus_DD_V2[[#Headers],[Index]])</f>
        <v>18</v>
      </c>
      <c r="AS20" t="str">
        <f>IF(Surplus_DD_V2[[#This Row],[Index]]&gt;COUNT(Surplus[Surplus Drop-Down]),"",IF(COUNTIFS(Surplus[Surplus TPBE],"&gt;=1")&lt;Surplus_DD_V2[[#This Row],[Index]],"",SMALL(Surplus[Surplus Drop-Down],Surplus_DD_V2[[#This Row],[Index]])))</f>
        <v/>
      </c>
      <c r="AT20" s="46" t="str">
        <f>IF(Surplus_DD_V2[[#This Row],[Surplus Index]]="","",INDEX(Surplus[TPBE],Surplus_DD_V2[[#This Row],[Surplus Index]]))</f>
        <v/>
      </c>
      <c r="AU20" t="str">
        <f>IF(Surplus_DD_V2[[#This Row],[Surplus Index]]="","",INDEX(Surplus[Functional Centre],Surplus_DD_V2[[#This Row],[Surplus Index]]))</f>
        <v/>
      </c>
      <c r="AV20" s="28">
        <f>SUMIFS(Surplus[Surplus],Surplus[TPBE],Surplus_DD_V2[[#This Row],[TPBE]],Surplus[Functional Centre],Surplus_DD_V2[[#This Row],[FC]])</f>
        <v>0</v>
      </c>
    </row>
    <row r="21" spans="1:48" x14ac:dyDescent="0.25">
      <c r="X21" t="s">
        <v>81</v>
      </c>
      <c r="Y21" t="s">
        <v>80</v>
      </c>
      <c r="Z21" t="str">
        <f>FCs[[#This Row],[FC Description]]&amp;" "&amp;FCs[[#This Row],[FC ID]]</f>
        <v>Clinics/Programs - Therapy Clinic - Naturopathy 72 5 10 40 30</v>
      </c>
      <c r="AC21" t="s">
        <v>590</v>
      </c>
      <c r="AD21" s="25" t="s">
        <v>651</v>
      </c>
      <c r="AE21" s="25" t="s">
        <v>657</v>
      </c>
      <c r="AF21" t="s">
        <v>663</v>
      </c>
      <c r="AG21" t="str">
        <f>PROPER(Agencies[[#This Row],[HSP Name]])</f>
        <v>Community Head Injury Resource Services Of Toronto</v>
      </c>
      <c r="AH21" t="s">
        <v>669</v>
      </c>
      <c r="AL21">
        <f>ROW()-ROW(Surplus_DD[[#Headers],[Index]])</f>
        <v>19</v>
      </c>
      <c r="AM21" t="str">
        <f>IF(COUNTIFS(Surplus[Surplus TPBE],"&gt;=1")&lt;Surplus_DD[[#This Row],[Index]],"",SMALL(Surplus[Surplus TPBE],Surplus_DD[[#This Row],[Index]]))</f>
        <v/>
      </c>
      <c r="AN21" s="46" t="str">
        <f>IF(Surplus_DD[[#This Row],[Surplus Index]]="","",INDEX(Surplus[TPBE],Surplus_DD[[#This Row],[Surplus Index]]))</f>
        <v/>
      </c>
      <c r="AO21" t="str">
        <f>IF(Surplus_DD[[#This Row],[Surplus Index]]="","",INDEX(Surplus[Functional Centre],Surplus_DD[[#This Row],[Surplus Index]]))</f>
        <v/>
      </c>
      <c r="AP21" s="28">
        <f>SUMIFS(Surplus[Surplus],Surplus[TPBE],Surplus_DD[[#This Row],[TPBE]],Surplus[Functional Centre],Surplus_DD[[#This Row],[FC]])</f>
        <v>0</v>
      </c>
      <c r="AR21">
        <f>ROW()-ROW(Surplus_DD_V2[[#Headers],[Index]])</f>
        <v>19</v>
      </c>
      <c r="AS21" t="str">
        <f>IF(Surplus_DD_V2[[#This Row],[Index]]&gt;COUNT(Surplus[Surplus Drop-Down]),"",IF(COUNTIFS(Surplus[Surplus TPBE],"&gt;=1")&lt;Surplus_DD_V2[[#This Row],[Index]],"",SMALL(Surplus[Surplus Drop-Down],Surplus_DD_V2[[#This Row],[Index]])))</f>
        <v/>
      </c>
      <c r="AT21" s="46" t="str">
        <f>IF(Surplus_DD_V2[[#This Row],[Surplus Index]]="","",INDEX(Surplus[TPBE],Surplus_DD_V2[[#This Row],[Surplus Index]]))</f>
        <v/>
      </c>
      <c r="AU21" t="str">
        <f>IF(Surplus_DD_V2[[#This Row],[Surplus Index]]="","",INDEX(Surplus[Functional Centre],Surplus_DD_V2[[#This Row],[Surplus Index]]))</f>
        <v/>
      </c>
      <c r="AV21" s="28">
        <f>SUMIFS(Surplus[Surplus],Surplus[TPBE],Surplus_DD_V2[[#This Row],[TPBE]],Surplus[Functional Centre],Surplus_DD_V2[[#This Row],[FC]])</f>
        <v>0</v>
      </c>
    </row>
    <row r="22" spans="1:48" x14ac:dyDescent="0.25">
      <c r="X22" t="s">
        <v>83</v>
      </c>
      <c r="Y22" t="s">
        <v>82</v>
      </c>
      <c r="Z22" t="str">
        <f>FCs[[#This Row],[FC Description]]&amp;" "&amp;FCs[[#This Row],[FC ID]]</f>
        <v>Clinics/Programs - Therapy Clinic - Pharmacy 72 5 10 40 40</v>
      </c>
      <c r="AC22" t="s">
        <v>590</v>
      </c>
      <c r="AD22" s="25" t="s">
        <v>652</v>
      </c>
      <c r="AE22" s="25" t="s">
        <v>658</v>
      </c>
      <c r="AF22" t="s">
        <v>664</v>
      </c>
      <c r="AG22" t="str">
        <f>PROPER(Agencies[[#This Row],[HSP Name]])</f>
        <v>Community Home Assistance To Seniors</v>
      </c>
      <c r="AH22" t="s">
        <v>670</v>
      </c>
      <c r="AL22">
        <f>ROW()-ROW(Surplus_DD[[#Headers],[Index]])</f>
        <v>20</v>
      </c>
      <c r="AM22" t="str">
        <f>IF(COUNTIFS(Surplus[Surplus TPBE],"&gt;=1")&lt;Surplus_DD[[#This Row],[Index]],"",SMALL(Surplus[Surplus TPBE],Surplus_DD[[#This Row],[Index]]))</f>
        <v/>
      </c>
      <c r="AN22" s="46" t="str">
        <f>IF(Surplus_DD[[#This Row],[Surplus Index]]="","",INDEX(Surplus[TPBE],Surplus_DD[[#This Row],[Surplus Index]]))</f>
        <v/>
      </c>
      <c r="AO22" t="str">
        <f>IF(Surplus_DD[[#This Row],[Surplus Index]]="","",INDEX(Surplus[Functional Centre],Surplus_DD[[#This Row],[Surplus Index]]))</f>
        <v/>
      </c>
      <c r="AP22" s="28">
        <f>SUMIFS(Surplus[Surplus],Surplus[TPBE],Surplus_DD[[#This Row],[TPBE]],Surplus[Functional Centre],Surplus_DD[[#This Row],[FC]])</f>
        <v>0</v>
      </c>
      <c r="AR22">
        <f>ROW()-ROW(Surplus_DD_V2[[#Headers],[Index]])</f>
        <v>20</v>
      </c>
      <c r="AS22" t="str">
        <f>IF(Surplus_DD_V2[[#This Row],[Index]]&gt;COUNT(Surplus[Surplus Drop-Down]),"",IF(COUNTIFS(Surplus[Surplus TPBE],"&gt;=1")&lt;Surplus_DD_V2[[#This Row],[Index]],"",SMALL(Surplus[Surplus Drop-Down],Surplus_DD_V2[[#This Row],[Index]])))</f>
        <v/>
      </c>
      <c r="AT22" s="46" t="str">
        <f>IF(Surplus_DD_V2[[#This Row],[Surplus Index]]="","",INDEX(Surplus[TPBE],Surplus_DD_V2[[#This Row],[Surplus Index]]))</f>
        <v/>
      </c>
      <c r="AU22" t="str">
        <f>IF(Surplus_DD_V2[[#This Row],[Surplus Index]]="","",INDEX(Surplus[Functional Centre],Surplus_DD_V2[[#This Row],[Surplus Index]]))</f>
        <v/>
      </c>
      <c r="AV22" s="28">
        <f>SUMIFS(Surplus[Surplus],Surplus[TPBE],Surplus_DD_V2[[#This Row],[TPBE]],Surplus[Functional Centre],Surplus_DD_V2[[#This Row],[FC]])</f>
        <v>0</v>
      </c>
    </row>
    <row r="23" spans="1:48" x14ac:dyDescent="0.25">
      <c r="X23" t="s">
        <v>85</v>
      </c>
      <c r="Y23" t="s">
        <v>84</v>
      </c>
      <c r="Z23" t="str">
        <f>FCs[[#This Row],[FC Description]]&amp;" "&amp;FCs[[#This Row],[FC ID]]</f>
        <v>Clinics/Programs - Therapy Clinic - Nutrition 72 5 10 40 45</v>
      </c>
      <c r="AC23" t="s">
        <v>590</v>
      </c>
      <c r="AD23" s="25" t="s">
        <v>653</v>
      </c>
      <c r="AE23" s="25" t="s">
        <v>659</v>
      </c>
      <c r="AF23" t="s">
        <v>665</v>
      </c>
      <c r="AG23" t="str">
        <f>PROPER(Agencies[[#This Row],[HSP Name]])</f>
        <v>Cota Health</v>
      </c>
      <c r="AH23" t="s">
        <v>671</v>
      </c>
      <c r="AL23">
        <f>ROW()-ROW(Surplus_DD[[#Headers],[Index]])</f>
        <v>21</v>
      </c>
      <c r="AM23" t="str">
        <f>IF(COUNTIFS(Surplus[Surplus TPBE],"&gt;=1")&lt;Surplus_DD[[#This Row],[Index]],"",SMALL(Surplus[Surplus TPBE],Surplus_DD[[#This Row],[Index]]))</f>
        <v/>
      </c>
      <c r="AN23" s="46" t="str">
        <f>IF(Surplus_DD[[#This Row],[Surplus Index]]="","",INDEX(Surplus[TPBE],Surplus_DD[[#This Row],[Surplus Index]]))</f>
        <v/>
      </c>
      <c r="AO23" t="str">
        <f>IF(Surplus_DD[[#This Row],[Surplus Index]]="","",INDEX(Surplus[Functional Centre],Surplus_DD[[#This Row],[Surplus Index]]))</f>
        <v/>
      </c>
      <c r="AP23" s="28">
        <f>SUMIFS(Surplus[Surplus],Surplus[TPBE],Surplus_DD[[#This Row],[TPBE]],Surplus[Functional Centre],Surplus_DD[[#This Row],[FC]])</f>
        <v>0</v>
      </c>
      <c r="AR23">
        <f>ROW()-ROW(Surplus_DD_V2[[#Headers],[Index]])</f>
        <v>21</v>
      </c>
      <c r="AS23" t="str">
        <f>IF(Surplus_DD_V2[[#This Row],[Index]]&gt;COUNT(Surplus[Surplus Drop-Down]),"",IF(COUNTIFS(Surplus[Surplus TPBE],"&gt;=1")&lt;Surplus_DD_V2[[#This Row],[Index]],"",SMALL(Surplus[Surplus Drop-Down],Surplus_DD_V2[[#This Row],[Index]])))</f>
        <v/>
      </c>
      <c r="AT23" s="46" t="str">
        <f>IF(Surplus_DD_V2[[#This Row],[Surplus Index]]="","",INDEX(Surplus[TPBE],Surplus_DD_V2[[#This Row],[Surplus Index]]))</f>
        <v/>
      </c>
      <c r="AU23" t="str">
        <f>IF(Surplus_DD_V2[[#This Row],[Surplus Index]]="","",INDEX(Surplus[Functional Centre],Surplus_DD_V2[[#This Row],[Surplus Index]]))</f>
        <v/>
      </c>
      <c r="AV23" s="28">
        <f>SUMIFS(Surplus[Surplus],Surplus[TPBE],Surplus_DD_V2[[#This Row],[TPBE]],Surplus[Functional Centre],Surplus_DD_V2[[#This Row],[FC]])</f>
        <v>0</v>
      </c>
    </row>
    <row r="24" spans="1:48" x14ac:dyDescent="0.25">
      <c r="X24" t="s">
        <v>87</v>
      </c>
      <c r="Y24" t="s">
        <v>86</v>
      </c>
      <c r="Z24" t="str">
        <f>FCs[[#This Row],[FC Description]]&amp;" "&amp;FCs[[#This Row],[FC ID]]</f>
        <v>Clinics/Programs - Therapy Clinic - Physiotherapy 72 5 10 40 50</v>
      </c>
      <c r="AC24" t="s">
        <v>590</v>
      </c>
      <c r="AD24" s="25" t="s">
        <v>672</v>
      </c>
      <c r="AE24" s="25" t="s">
        <v>673</v>
      </c>
      <c r="AF24" t="s">
        <v>674</v>
      </c>
      <c r="AG24" t="str">
        <f>PROPER(Agencies[[#This Row],[HSP Name]])</f>
        <v>Etobicoke Services For Seniors</v>
      </c>
      <c r="AH24" t="s">
        <v>675</v>
      </c>
      <c r="AL24">
        <f>ROW()-ROW(Surplus_DD[[#Headers],[Index]])</f>
        <v>22</v>
      </c>
      <c r="AM24" t="str">
        <f>IF(COUNTIFS(Surplus[Surplus TPBE],"&gt;=1")&lt;Surplus_DD[[#This Row],[Index]],"",SMALL(Surplus[Surplus TPBE],Surplus_DD[[#This Row],[Index]]))</f>
        <v/>
      </c>
      <c r="AN24" s="46" t="str">
        <f>IF(Surplus_DD[[#This Row],[Surplus Index]]="","",INDEX(Surplus[TPBE],Surplus_DD[[#This Row],[Surplus Index]]))</f>
        <v/>
      </c>
      <c r="AO24" t="str">
        <f>IF(Surplus_DD[[#This Row],[Surplus Index]]="","",INDEX(Surplus[Functional Centre],Surplus_DD[[#This Row],[Surplus Index]]))</f>
        <v/>
      </c>
      <c r="AP24" s="28">
        <f>SUMIFS(Surplus[Surplus],Surplus[TPBE],Surplus_DD[[#This Row],[TPBE]],Surplus[Functional Centre],Surplus_DD[[#This Row],[FC]])</f>
        <v>0</v>
      </c>
      <c r="AR24">
        <f>ROW()-ROW(Surplus_DD_V2[[#Headers],[Index]])</f>
        <v>22</v>
      </c>
      <c r="AS24" t="str">
        <f>IF(Surplus_DD_V2[[#This Row],[Index]]&gt;COUNT(Surplus[Surplus Drop-Down]),"",IF(COUNTIFS(Surplus[Surplus TPBE],"&gt;=1")&lt;Surplus_DD_V2[[#This Row],[Index]],"",SMALL(Surplus[Surplus Drop-Down],Surplus_DD_V2[[#This Row],[Index]])))</f>
        <v/>
      </c>
      <c r="AT24" s="46" t="str">
        <f>IF(Surplus_DD_V2[[#This Row],[Surplus Index]]="","",INDEX(Surplus[TPBE],Surplus_DD_V2[[#This Row],[Surplus Index]]))</f>
        <v/>
      </c>
      <c r="AU24" t="str">
        <f>IF(Surplus_DD_V2[[#This Row],[Surplus Index]]="","",INDEX(Surplus[Functional Centre],Surplus_DD_V2[[#This Row],[Surplus Index]]))</f>
        <v/>
      </c>
      <c r="AV24" s="28">
        <f>SUMIFS(Surplus[Surplus],Surplus[TPBE],Surplus_DD_V2[[#This Row],[TPBE]],Surplus[Functional Centre],Surplus_DD_V2[[#This Row],[FC]])</f>
        <v>0</v>
      </c>
    </row>
    <row r="25" spans="1:48" x14ac:dyDescent="0.25">
      <c r="X25" t="s">
        <v>89</v>
      </c>
      <c r="Y25" t="s">
        <v>88</v>
      </c>
      <c r="Z25" t="str">
        <f>FCs[[#This Row],[FC Description]]&amp;" "&amp;FCs[[#This Row],[FC ID]]</f>
        <v>Clinics/Programs - Therapy Clinic - Occupational Therapy 72 5 10 40 55</v>
      </c>
      <c r="AC25" t="s">
        <v>590</v>
      </c>
      <c r="AD25" s="25" t="s">
        <v>676</v>
      </c>
      <c r="AE25" s="25" t="s">
        <v>679</v>
      </c>
      <c r="AF25" t="s">
        <v>682</v>
      </c>
      <c r="AG25" t="str">
        <f>PROPER(Agencies[[#This Row],[HSP Name]])</f>
        <v>Hazel Burns Hospice</v>
      </c>
      <c r="AH25" t="s">
        <v>685</v>
      </c>
      <c r="AL25">
        <f>ROW()-ROW(Surplus_DD[[#Headers],[Index]])</f>
        <v>23</v>
      </c>
      <c r="AM25" t="str">
        <f>IF(COUNTIFS(Surplus[Surplus TPBE],"&gt;=1")&lt;Surplus_DD[[#This Row],[Index]],"",SMALL(Surplus[Surplus TPBE],Surplus_DD[[#This Row],[Index]]))</f>
        <v/>
      </c>
      <c r="AN25" s="46" t="str">
        <f>IF(Surplus_DD[[#This Row],[Surplus Index]]="","",INDEX(Surplus[TPBE],Surplus_DD[[#This Row],[Surplus Index]]))</f>
        <v/>
      </c>
      <c r="AO25" t="str">
        <f>IF(Surplus_DD[[#This Row],[Surplus Index]]="","",INDEX(Surplus[Functional Centre],Surplus_DD[[#This Row],[Surplus Index]]))</f>
        <v/>
      </c>
      <c r="AP25" s="28">
        <f>SUMIFS(Surplus[Surplus],Surplus[TPBE],Surplus_DD[[#This Row],[TPBE]],Surplus[Functional Centre],Surplus_DD[[#This Row],[FC]])</f>
        <v>0</v>
      </c>
      <c r="AR25">
        <f>ROW()-ROW(Surplus_DD_V2[[#Headers],[Index]])</f>
        <v>23</v>
      </c>
      <c r="AS25" t="str">
        <f>IF(Surplus_DD_V2[[#This Row],[Index]]&gt;COUNT(Surplus[Surplus Drop-Down]),"",IF(COUNTIFS(Surplus[Surplus TPBE],"&gt;=1")&lt;Surplus_DD_V2[[#This Row],[Index]],"",SMALL(Surplus[Surplus Drop-Down],Surplus_DD_V2[[#This Row],[Index]])))</f>
        <v/>
      </c>
      <c r="AT25" s="46" t="str">
        <f>IF(Surplus_DD_V2[[#This Row],[Surplus Index]]="","",INDEX(Surplus[TPBE],Surplus_DD_V2[[#This Row],[Surplus Index]]))</f>
        <v/>
      </c>
      <c r="AU25" t="str">
        <f>IF(Surplus_DD_V2[[#This Row],[Surplus Index]]="","",INDEX(Surplus[Functional Centre],Surplus_DD_V2[[#This Row],[Surplus Index]]))</f>
        <v/>
      </c>
      <c r="AV25" s="28">
        <f>SUMIFS(Surplus[Surplus],Surplus[TPBE],Surplus_DD_V2[[#This Row],[TPBE]],Surplus[Functional Centre],Surplus_DD_V2[[#This Row],[FC]])</f>
        <v>0</v>
      </c>
    </row>
    <row r="26" spans="1:48" x14ac:dyDescent="0.25">
      <c r="X26" t="s">
        <v>91</v>
      </c>
      <c r="Y26" t="s">
        <v>90</v>
      </c>
      <c r="Z26" t="str">
        <f>FCs[[#This Row],[FC Description]]&amp;" "&amp;FCs[[#This Row],[FC ID]]</f>
        <v>Clinics/Programs - Therapy Clinic - Counselling 72 5 10 40 60</v>
      </c>
      <c r="AC26" t="s">
        <v>590</v>
      </c>
      <c r="AD26" s="25" t="s">
        <v>677</v>
      </c>
      <c r="AE26" s="25" t="s">
        <v>680</v>
      </c>
      <c r="AF26" t="s">
        <v>683</v>
      </c>
      <c r="AG26" t="str">
        <f>PROPER(Agencies[[#This Row],[HSP Name]])</f>
        <v>Humber River Hospital</v>
      </c>
      <c r="AH26" t="s">
        <v>686</v>
      </c>
      <c r="AL26">
        <f>ROW()-ROW(Surplus_DD[[#Headers],[Index]])</f>
        <v>24</v>
      </c>
      <c r="AM26" t="str">
        <f>IF(COUNTIFS(Surplus[Surplus TPBE],"&gt;=1")&lt;Surplus_DD[[#This Row],[Index]],"",SMALL(Surplus[Surplus TPBE],Surplus_DD[[#This Row],[Index]]))</f>
        <v/>
      </c>
      <c r="AN26" s="46" t="str">
        <f>IF(Surplus_DD[[#This Row],[Surplus Index]]="","",INDEX(Surplus[TPBE],Surplus_DD[[#This Row],[Surplus Index]]))</f>
        <v/>
      </c>
      <c r="AO26" t="str">
        <f>IF(Surplus_DD[[#This Row],[Surplus Index]]="","",INDEX(Surplus[Functional Centre],Surplus_DD[[#This Row],[Surplus Index]]))</f>
        <v/>
      </c>
      <c r="AP26" s="28">
        <f>SUMIFS(Surplus[Surplus],Surplus[TPBE],Surplus_DD[[#This Row],[TPBE]],Surplus[Functional Centre],Surplus_DD[[#This Row],[FC]])</f>
        <v>0</v>
      </c>
      <c r="AR26">
        <f>ROW()-ROW(Surplus_DD_V2[[#Headers],[Index]])</f>
        <v>24</v>
      </c>
      <c r="AS26" t="str">
        <f>IF(Surplus_DD_V2[[#This Row],[Index]]&gt;COUNT(Surplus[Surplus Drop-Down]),"",IF(COUNTIFS(Surplus[Surplus TPBE],"&gt;=1")&lt;Surplus_DD_V2[[#This Row],[Index]],"",SMALL(Surplus[Surplus Drop-Down],Surplus_DD_V2[[#This Row],[Index]])))</f>
        <v/>
      </c>
      <c r="AT26" s="46" t="str">
        <f>IF(Surplus_DD_V2[[#This Row],[Surplus Index]]="","",INDEX(Surplus[TPBE],Surplus_DD_V2[[#This Row],[Surplus Index]]))</f>
        <v/>
      </c>
      <c r="AU26" t="str">
        <f>IF(Surplus_DD_V2[[#This Row],[Surplus Index]]="","",INDEX(Surplus[Functional Centre],Surplus_DD_V2[[#This Row],[Surplus Index]]))</f>
        <v/>
      </c>
      <c r="AV26" s="28">
        <f>SUMIFS(Surplus[Surplus],Surplus[TPBE],Surplus_DD_V2[[#This Row],[TPBE]],Surplus[Functional Centre],Surplus_DD_V2[[#This Row],[FC]])</f>
        <v>0</v>
      </c>
    </row>
    <row r="27" spans="1:48" x14ac:dyDescent="0.25">
      <c r="X27" t="s">
        <v>93</v>
      </c>
      <c r="Y27" t="s">
        <v>92</v>
      </c>
      <c r="Z27" t="str">
        <f>FCs[[#This Row],[FC Description]]&amp;" "&amp;FCs[[#This Row],[FC ID]]</f>
        <v>Clinics/Programs - Therapy Clinic - Speech and Language Pathology 72 5 10 40 62</v>
      </c>
      <c r="AC27" t="s">
        <v>590</v>
      </c>
      <c r="AD27" s="25" t="s">
        <v>678</v>
      </c>
      <c r="AE27" s="25" t="s">
        <v>681</v>
      </c>
      <c r="AF27" t="s">
        <v>684</v>
      </c>
      <c r="AG27" t="str">
        <f>PROPER(Agencies[[#This Row],[HSP Name]])</f>
        <v>Jane/Finch Community &amp; Family Centre</v>
      </c>
      <c r="AH27" t="s">
        <v>687</v>
      </c>
    </row>
    <row r="28" spans="1:48" x14ac:dyDescent="0.25">
      <c r="X28" t="s">
        <v>95</v>
      </c>
      <c r="Y28" t="s">
        <v>94</v>
      </c>
      <c r="Z28" t="str">
        <f>FCs[[#This Row],[FC Description]]&amp;" "&amp;FCs[[#This Row],[FC ID]]</f>
        <v>Clinics/Programs - Therapy Clinic - Massage Therapy 72 5 10 40 64</v>
      </c>
      <c r="AC28" t="s">
        <v>590</v>
      </c>
      <c r="AD28" s="25" t="s">
        <v>688</v>
      </c>
      <c r="AE28" s="25" t="s">
        <v>689</v>
      </c>
      <c r="AF28" t="s">
        <v>690</v>
      </c>
      <c r="AG28" t="str">
        <f>PROPER(Agencies[[#This Row],[HSP Name]])</f>
        <v>Krasman Centre (The Lance Krasman Memorial Centre For Community Mental Health)</v>
      </c>
      <c r="AH28" t="s">
        <v>691</v>
      </c>
    </row>
    <row r="29" spans="1:48" x14ac:dyDescent="0.25">
      <c r="X29" t="s">
        <v>97</v>
      </c>
      <c r="Y29" t="s">
        <v>96</v>
      </c>
      <c r="Z29" t="str">
        <f>FCs[[#This Row],[FC Description]]&amp;" "&amp;FCs[[#This Row],[FC ID]]</f>
        <v>Clinics/Programs – Oral Health Clinic 72 5 10 45</v>
      </c>
      <c r="AC29" t="s">
        <v>590</v>
      </c>
      <c r="AD29" s="25">
        <v>323</v>
      </c>
      <c r="AE29" s="25" t="s">
        <v>542</v>
      </c>
      <c r="AF29" t="s">
        <v>696</v>
      </c>
      <c r="AG29" t="str">
        <f>PROPER(Agencies[[#This Row],[HSP Name]])</f>
        <v>Loft Community Services</v>
      </c>
      <c r="AH29" t="s">
        <v>546</v>
      </c>
    </row>
    <row r="30" spans="1:48" x14ac:dyDescent="0.25">
      <c r="X30" t="s">
        <v>99</v>
      </c>
      <c r="Y30" t="s">
        <v>98</v>
      </c>
      <c r="Z30" t="str">
        <f>FCs[[#This Row],[FC Description]]&amp;" "&amp;FCs[[#This Row],[FC ID]]</f>
        <v>Clinics/Programs – Chronic Disease Clinic - General Clinic 72 5 10 50 10</v>
      </c>
      <c r="AC30" t="s">
        <v>590</v>
      </c>
      <c r="AD30" s="25" t="s">
        <v>692</v>
      </c>
      <c r="AE30" s="25" t="s">
        <v>694</v>
      </c>
      <c r="AF30" t="s">
        <v>697</v>
      </c>
      <c r="AG30" t="str">
        <f>PROPER(Agencies[[#This Row],[HSP Name]])</f>
        <v>Lumacare Services</v>
      </c>
      <c r="AH30" t="s">
        <v>699</v>
      </c>
    </row>
    <row r="31" spans="1:48" x14ac:dyDescent="0.25">
      <c r="X31" t="s">
        <v>101</v>
      </c>
      <c r="Y31" t="s">
        <v>100</v>
      </c>
      <c r="Z31" t="str">
        <f>FCs[[#This Row],[FC Description]]&amp;" "&amp;FCs[[#This Row],[FC ID]]</f>
        <v>Clinics/Programs – Chronic Disease Clinic - Diabetes Clinic 72 5 10 50 20</v>
      </c>
      <c r="AC31" t="s">
        <v>590</v>
      </c>
      <c r="AD31" s="25" t="s">
        <v>693</v>
      </c>
      <c r="AE31" s="25" t="s">
        <v>695</v>
      </c>
      <c r="AF31" t="s">
        <v>698</v>
      </c>
      <c r="AG31" t="str">
        <f>PROPER(Agencies[[#This Row],[HSP Name]])</f>
        <v>Mackenzie Health</v>
      </c>
      <c r="AH31" t="s">
        <v>700</v>
      </c>
    </row>
    <row r="32" spans="1:48" x14ac:dyDescent="0.25">
      <c r="X32" t="s">
        <v>103</v>
      </c>
      <c r="Y32" t="s">
        <v>102</v>
      </c>
      <c r="Z32" t="str">
        <f>FCs[[#This Row],[FC Description]]&amp;" "&amp;FCs[[#This Row],[FC ID]]</f>
        <v>COM Clinics/Programs - Chronic Disease – Asthma/COPD Clinic 
 72 5 10 50 30</v>
      </c>
      <c r="AC32" t="s">
        <v>590</v>
      </c>
      <c r="AD32" s="25" t="s">
        <v>701</v>
      </c>
      <c r="AE32" s="25" t="s">
        <v>543</v>
      </c>
      <c r="AF32" t="s">
        <v>702</v>
      </c>
      <c r="AG32" t="str">
        <f>PROPER(Agencies[[#This Row],[HSP Name]])</f>
        <v>March Of Dimes Canada</v>
      </c>
      <c r="AH32" t="s">
        <v>703</v>
      </c>
    </row>
    <row r="33" spans="24:34" x14ac:dyDescent="0.25">
      <c r="X33" t="s">
        <v>105</v>
      </c>
      <c r="Y33" t="s">
        <v>104</v>
      </c>
      <c r="Z33" t="str">
        <f>FCs[[#This Row],[FC Description]]&amp;" "&amp;FCs[[#This Row],[FC ID]]</f>
        <v>Clinics/Programs – Chronic Disease Clinic - Hepatitis C and/or HIV/AIDS Clinic 72 5 10 50 40</v>
      </c>
      <c r="AC33" t="s">
        <v>590</v>
      </c>
      <c r="AD33" s="25" t="s">
        <v>708</v>
      </c>
      <c r="AE33" s="25" t="s">
        <v>709</v>
      </c>
      <c r="AF33" t="s">
        <v>710</v>
      </c>
      <c r="AG33" t="str">
        <f>PROPER(Agencies[[#This Row],[HSP Name]])</f>
        <v>New Unionville Home Society</v>
      </c>
      <c r="AH33" t="s">
        <v>711</v>
      </c>
    </row>
    <row r="34" spans="24:34" x14ac:dyDescent="0.25">
      <c r="X34" t="s">
        <v>107</v>
      </c>
      <c r="Y34" t="s">
        <v>106</v>
      </c>
      <c r="Z34" t="str">
        <f>FCs[[#This Row],[FC Description]]&amp;" "&amp;FCs[[#This Row],[FC ID]]</f>
        <v>Clinics/Programs - Chronic Disease – Cardiac Rehabilitation Clinic 72 5 10 50 50</v>
      </c>
      <c r="AC34" t="s">
        <v>590</v>
      </c>
      <c r="AD34" s="25" t="s">
        <v>712</v>
      </c>
      <c r="AE34" s="25" t="s">
        <v>716</v>
      </c>
      <c r="AF34" t="s">
        <v>720</v>
      </c>
      <c r="AG34" t="str">
        <f>PROPER(Agencies[[#This Row],[HSP Name]])</f>
        <v>North York General Hospital</v>
      </c>
      <c r="AH34" t="s">
        <v>724</v>
      </c>
    </row>
    <row r="35" spans="24:34" x14ac:dyDescent="0.25">
      <c r="X35" t="s">
        <v>109</v>
      </c>
      <c r="Y35" t="s">
        <v>108</v>
      </c>
      <c r="Z35" t="str">
        <f>FCs[[#This Row],[FC Description]]&amp;" "&amp;FCs[[#This Row],[FC ID]]</f>
        <v>Clinics/Programs – CHC Other Clinic 72 5 10 55</v>
      </c>
      <c r="AC35" t="s">
        <v>590</v>
      </c>
      <c r="AD35" s="25" t="s">
        <v>713</v>
      </c>
      <c r="AE35" s="25" t="s">
        <v>717</v>
      </c>
      <c r="AF35" t="s">
        <v>721</v>
      </c>
      <c r="AG35" t="str">
        <f>PROPER(Agencies[[#This Row],[HSP Name]])</f>
        <v>North York Seniors Centre</v>
      </c>
      <c r="AH35" t="s">
        <v>725</v>
      </c>
    </row>
    <row r="36" spans="24:34" x14ac:dyDescent="0.25">
      <c r="X36" t="s">
        <v>111</v>
      </c>
      <c r="Y36" t="s">
        <v>110</v>
      </c>
      <c r="Z36" t="str">
        <f>FCs[[#This Row],[FC Description]]&amp;" "&amp;FCs[[#This Row],[FC ID]]</f>
        <v>Clinics/Programs - Oncology - Treatment Outreach Clinic 72 5 10 66 10</v>
      </c>
      <c r="AC36" t="s">
        <v>590</v>
      </c>
      <c r="AD36" s="25" t="s">
        <v>714</v>
      </c>
      <c r="AE36" s="25" t="s">
        <v>718</v>
      </c>
      <c r="AF36" t="s">
        <v>722</v>
      </c>
      <c r="AG36" t="str">
        <f>PROPER(Agencies[[#This Row],[HSP Name]])</f>
        <v>North Yorkers For Disabled Persons Inc</v>
      </c>
      <c r="AH36" t="s">
        <v>726</v>
      </c>
    </row>
    <row r="37" spans="24:34" x14ac:dyDescent="0.25">
      <c r="X37" t="s">
        <v>113</v>
      </c>
      <c r="Y37" t="s">
        <v>112</v>
      </c>
      <c r="Z37" t="str">
        <f>FCs[[#This Row],[FC Description]]&amp;" "&amp;FCs[[#This Row],[FC ID]]</f>
        <v>Clinics/Programs - Oncology - Preventative Clinics 72 5 10 66 20</v>
      </c>
      <c r="AC37" t="s">
        <v>590</v>
      </c>
      <c r="AD37" s="25" t="s">
        <v>704</v>
      </c>
      <c r="AE37" s="25" t="s">
        <v>705</v>
      </c>
      <c r="AF37" t="s">
        <v>706</v>
      </c>
      <c r="AG37" t="str">
        <f>PROPER(Agencies[[#This Row],[HSP Name]])</f>
        <v>Oak Valley Health</v>
      </c>
      <c r="AH37" t="s">
        <v>707</v>
      </c>
    </row>
    <row r="38" spans="24:34" x14ac:dyDescent="0.25">
      <c r="X38" t="s">
        <v>115</v>
      </c>
      <c r="Y38" t="s">
        <v>114</v>
      </c>
      <c r="Z38" t="str">
        <f>FCs[[#This Row],[FC Description]]&amp;" "&amp;FCs[[#This Row],[FC ID]]</f>
        <v>Clinics/Programs - MH Counseling and Treatment 72 5 10 76 12</v>
      </c>
      <c r="AC38" t="s">
        <v>590</v>
      </c>
      <c r="AD38" s="25" t="s">
        <v>715</v>
      </c>
      <c r="AE38" s="25" t="s">
        <v>719</v>
      </c>
      <c r="AF38" t="s">
        <v>723</v>
      </c>
      <c r="AG38" t="str">
        <f>PROPER(Agencies[[#This Row],[HSP Name]])</f>
        <v>Pace Independent Living</v>
      </c>
      <c r="AH38" t="s">
        <v>727</v>
      </c>
    </row>
    <row r="39" spans="24:34" x14ac:dyDescent="0.25">
      <c r="X39" t="s">
        <v>117</v>
      </c>
      <c r="Y39" t="s">
        <v>116</v>
      </c>
      <c r="Z39" t="str">
        <f>FCs[[#This Row],[FC Description]]&amp;" "&amp;FCs[[#This Row],[FC ID]]</f>
        <v>MH Assertive Community Treatment Teams 72 5 10 76 20</v>
      </c>
      <c r="AC39" t="s">
        <v>590</v>
      </c>
      <c r="AD39" s="25" t="s">
        <v>728</v>
      </c>
      <c r="AE39" s="25" t="s">
        <v>730</v>
      </c>
      <c r="AF39" t="s">
        <v>732</v>
      </c>
      <c r="AG39" t="str">
        <f>PROPER(Agencies[[#This Row],[HSP Name]])</f>
        <v>Reena</v>
      </c>
      <c r="AH39" t="s">
        <v>732</v>
      </c>
    </row>
    <row r="40" spans="24:34" x14ac:dyDescent="0.25">
      <c r="X40" t="s">
        <v>119</v>
      </c>
      <c r="Y40" t="s">
        <v>118</v>
      </c>
      <c r="Z40" t="str">
        <f>FCs[[#This Row],[FC Description]]&amp;" "&amp;FCs[[#This Row],[FC ID]]</f>
        <v>MH Community Clinic 72 5 10 76 30</v>
      </c>
      <c r="AC40" t="s">
        <v>590</v>
      </c>
      <c r="AD40" s="25" t="s">
        <v>729</v>
      </c>
      <c r="AE40" s="25" t="s">
        <v>731</v>
      </c>
      <c r="AF40" t="s">
        <v>733</v>
      </c>
      <c r="AG40" t="str">
        <f>PROPER(Agencies[[#This Row],[HSP Name]])</f>
        <v>Regional Municipality Of York</v>
      </c>
      <c r="AH40" t="s">
        <v>734</v>
      </c>
    </row>
    <row r="41" spans="24:34" x14ac:dyDescent="0.25">
      <c r="X41" t="s">
        <v>121</v>
      </c>
      <c r="Y41" t="s">
        <v>120</v>
      </c>
      <c r="Z41" t="str">
        <f>FCs[[#This Row],[FC Description]]&amp;" "&amp;FCs[[#This Row],[FC ID]]</f>
        <v>MH Vocational/Employment 72 5 10 76 40</v>
      </c>
      <c r="AC41" t="s">
        <v>590</v>
      </c>
      <c r="AD41" s="25" t="s">
        <v>735</v>
      </c>
      <c r="AE41" s="25" t="s">
        <v>736</v>
      </c>
      <c r="AF41" t="s">
        <v>737</v>
      </c>
      <c r="AG41" t="str">
        <f>PROPER(Agencies[[#This Row],[HSP Name]])</f>
        <v>Southlake Regional Health Centre</v>
      </c>
      <c r="AH41" t="s">
        <v>738</v>
      </c>
    </row>
    <row r="42" spans="24:34" x14ac:dyDescent="0.25">
      <c r="X42" t="s">
        <v>123</v>
      </c>
      <c r="Y42" t="s">
        <v>122</v>
      </c>
      <c r="Z42" t="str">
        <f>FCs[[#This Row],[FC Description]]&amp;" "&amp;FCs[[#This Row],[FC ID]]</f>
        <v>MH Clubhouses 72 5 10 76 41</v>
      </c>
      <c r="AC42" t="s">
        <v>590</v>
      </c>
      <c r="AD42" s="25" t="s">
        <v>739</v>
      </c>
      <c r="AE42" s="25" t="s">
        <v>742</v>
      </c>
      <c r="AF42" t="s">
        <v>745</v>
      </c>
      <c r="AG42" t="str">
        <f>PROPER(Agencies[[#This Row],[HSP Name]])</f>
        <v>St Demetrius Supportive Care Services</v>
      </c>
      <c r="AH42" t="s">
        <v>748</v>
      </c>
    </row>
    <row r="43" spans="24:34" x14ac:dyDescent="0.25">
      <c r="X43" t="s">
        <v>125</v>
      </c>
      <c r="Y43" t="s">
        <v>124</v>
      </c>
      <c r="Z43" t="str">
        <f>FCs[[#This Row],[FC Description]]&amp;" "&amp;FCs[[#This Row],[FC ID]]</f>
        <v>MH Child/Adolescent 72 5 10 76 50</v>
      </c>
      <c r="AC43" t="s">
        <v>590</v>
      </c>
      <c r="AD43" s="25" t="s">
        <v>740</v>
      </c>
      <c r="AE43" s="25" t="s">
        <v>743</v>
      </c>
      <c r="AF43" t="s">
        <v>746</v>
      </c>
      <c r="AG43" t="str">
        <f>PROPER(Agencies[[#This Row],[HSP Name]])</f>
        <v>Stevenson Memorial Hospital</v>
      </c>
      <c r="AH43" t="s">
        <v>749</v>
      </c>
    </row>
    <row r="44" spans="24:34" x14ac:dyDescent="0.25">
      <c r="X44" t="s">
        <v>127</v>
      </c>
      <c r="Y44" t="s">
        <v>126</v>
      </c>
      <c r="Z44" t="str">
        <f>FCs[[#This Row],[FC Description]]&amp;" "&amp;FCs[[#This Row],[FC ID]]</f>
        <v>MH Early Intervention 72 5 10 76 51</v>
      </c>
      <c r="AC44" t="s">
        <v>590</v>
      </c>
      <c r="AD44" s="25" t="s">
        <v>741</v>
      </c>
      <c r="AE44" s="25" t="s">
        <v>744</v>
      </c>
      <c r="AF44" t="s">
        <v>747</v>
      </c>
      <c r="AG44" t="str">
        <f>PROPER(Agencies[[#This Row],[HSP Name]])</f>
        <v>Toronto North Support Services</v>
      </c>
      <c r="AH44" t="s">
        <v>750</v>
      </c>
    </row>
    <row r="45" spans="24:34" x14ac:dyDescent="0.25">
      <c r="X45" t="s">
        <v>129</v>
      </c>
      <c r="Y45" t="s">
        <v>128</v>
      </c>
      <c r="Z45" t="str">
        <f>FCs[[#This Row],[FC Description]]&amp;" "&amp;FCs[[#This Row],[FC ID]]</f>
        <v>MH Forensic 72 5 10 76 55</v>
      </c>
      <c r="AC45" t="s">
        <v>590</v>
      </c>
      <c r="AD45" s="25" t="s">
        <v>751</v>
      </c>
      <c r="AE45" s="25" t="s">
        <v>752</v>
      </c>
      <c r="AF45" t="s">
        <v>753</v>
      </c>
      <c r="AG45" t="str">
        <f>PROPER(Agencies[[#This Row],[HSP Name]])</f>
        <v>Vaughan Community Health Centre Corporation</v>
      </c>
      <c r="AH45" t="s">
        <v>754</v>
      </c>
    </row>
    <row r="46" spans="24:34" x14ac:dyDescent="0.25">
      <c r="X46" t="s">
        <v>131</v>
      </c>
      <c r="Y46" t="s">
        <v>130</v>
      </c>
      <c r="Z46" t="str">
        <f>FCs[[#This Row],[FC Description]]&amp;" "&amp;FCs[[#This Row],[FC ID]]</f>
        <v>MH Diversion and Court Support 72 5 10 76 56</v>
      </c>
      <c r="AC46" t="s">
        <v>590</v>
      </c>
      <c r="AD46" s="25" t="s">
        <v>755</v>
      </c>
      <c r="AE46" s="25" t="s">
        <v>756</v>
      </c>
      <c r="AF46" t="s">
        <v>757</v>
      </c>
      <c r="AG46" t="str">
        <f>PROPER(Agencies[[#This Row],[HSP Name]])</f>
        <v>Villa Colombo Homes For The Aged</v>
      </c>
      <c r="AH46" t="s">
        <v>758</v>
      </c>
    </row>
    <row r="47" spans="24:34" x14ac:dyDescent="0.25">
      <c r="X47" t="s">
        <v>133</v>
      </c>
      <c r="Y47" t="s">
        <v>132</v>
      </c>
      <c r="Z47" t="str">
        <f>FCs[[#This Row],[FC Description]]&amp;" "&amp;FCs[[#This Row],[FC ID]]</f>
        <v>MH Abuse Services 72 5 10 76 60</v>
      </c>
      <c r="AC47" t="s">
        <v>590</v>
      </c>
      <c r="AD47" s="25" t="s">
        <v>759</v>
      </c>
      <c r="AE47" s="25" t="s">
        <v>760</v>
      </c>
      <c r="AF47" t="s">
        <v>761</v>
      </c>
      <c r="AG47" t="str">
        <f>PROPER(Agencies[[#This Row],[HSP Name]])</f>
        <v>Vitanova Foundation</v>
      </c>
      <c r="AH47" t="s">
        <v>762</v>
      </c>
    </row>
    <row r="48" spans="24:34" x14ac:dyDescent="0.25">
      <c r="X48" t="s">
        <v>135</v>
      </c>
      <c r="Y48" t="s">
        <v>134</v>
      </c>
      <c r="Z48" t="str">
        <f>FCs[[#This Row],[FC Description]]&amp;" "&amp;FCs[[#This Row],[FC ID]]</f>
        <v>MH Eating Disorders 72 5 10 76 70</v>
      </c>
      <c r="AC48" t="s">
        <v>590</v>
      </c>
      <c r="AD48" s="25" t="s">
        <v>763</v>
      </c>
      <c r="AE48" s="25" t="s">
        <v>764</v>
      </c>
      <c r="AF48" t="s">
        <v>765</v>
      </c>
      <c r="AG48" t="str">
        <f>PROPER(Agencies[[#This Row],[HSP Name]])</f>
        <v>Yee Hong Centre For Geriatric Care</v>
      </c>
      <c r="AH48" t="s">
        <v>766</v>
      </c>
    </row>
    <row r="49" spans="24:34" x14ac:dyDescent="0.25">
      <c r="X49" t="s">
        <v>137</v>
      </c>
      <c r="Y49" t="s">
        <v>136</v>
      </c>
      <c r="Z49" t="str">
        <f>FCs[[#This Row],[FC Description]]&amp;" "&amp;FCs[[#This Row],[FC ID]]</f>
        <v>MH Social Rehab./Recreation 72 5 10 76 81</v>
      </c>
      <c r="AC49" t="s">
        <v>590</v>
      </c>
      <c r="AD49" s="25" t="s">
        <v>768</v>
      </c>
      <c r="AE49" s="25" t="s">
        <v>771</v>
      </c>
      <c r="AF49" t="s">
        <v>774</v>
      </c>
      <c r="AG49" t="str">
        <f>PROPER(Agencies[[#This Row],[HSP Name]])</f>
        <v>Yor-Sup-Net Support Service Network</v>
      </c>
      <c r="AH49" t="s">
        <v>777</v>
      </c>
    </row>
    <row r="50" spans="24:34" x14ac:dyDescent="0.25">
      <c r="X50" t="s">
        <v>139</v>
      </c>
      <c r="Y50" t="s">
        <v>138</v>
      </c>
      <c r="Z50" t="str">
        <f>FCs[[#This Row],[FC Description]]&amp;" "&amp;FCs[[#This Row],[FC ID]]</f>
        <v>MH Psycho-geriatric 72 5 10 76 96</v>
      </c>
      <c r="AC50" t="s">
        <v>767</v>
      </c>
      <c r="AD50" s="25" t="s">
        <v>769</v>
      </c>
      <c r="AE50" s="25" t="s">
        <v>772</v>
      </c>
      <c r="AF50" t="s">
        <v>775</v>
      </c>
      <c r="AG50" t="str">
        <f>PROPER(Agencies[[#This Row],[HSP Name]])</f>
        <v>Alzheimer Society Of Dufferin County</v>
      </c>
      <c r="AH50" t="s">
        <v>778</v>
      </c>
    </row>
    <row r="51" spans="24:34" x14ac:dyDescent="0.25">
      <c r="X51" t="s">
        <v>141</v>
      </c>
      <c r="Y51" t="s">
        <v>140</v>
      </c>
      <c r="Z51" t="str">
        <f>FCs[[#This Row],[FC Description]]&amp;" "&amp;FCs[[#This Row],[FC ID]]</f>
        <v>Other MH Services not elsewhere identified 72 5 10 76 99</v>
      </c>
      <c r="AC51" t="s">
        <v>767</v>
      </c>
      <c r="AD51" s="25" t="s">
        <v>770</v>
      </c>
      <c r="AE51" s="25" t="s">
        <v>773</v>
      </c>
      <c r="AF51" t="s">
        <v>776</v>
      </c>
      <c r="AG51" t="str">
        <f>PROPER(Agencies[[#This Row],[HSP Name]])</f>
        <v>Alzheimer Society Peel</v>
      </c>
      <c r="AH51" t="s">
        <v>779</v>
      </c>
    </row>
    <row r="52" spans="24:34" x14ac:dyDescent="0.25">
      <c r="X52" t="s">
        <v>143</v>
      </c>
      <c r="Y52" t="s">
        <v>142</v>
      </c>
      <c r="Z52" t="str">
        <f>FCs[[#This Row],[FC Description]]&amp;" "&amp;FCs[[#This Row],[FC ID]]</f>
        <v>Addictions Treatment-Substance Abuse 72 5 10 78 11</v>
      </c>
      <c r="AC52" t="s">
        <v>767</v>
      </c>
      <c r="AD52" s="25" t="s">
        <v>780</v>
      </c>
      <c r="AE52" s="25" t="s">
        <v>782</v>
      </c>
      <c r="AF52" t="s">
        <v>784</v>
      </c>
      <c r="AG52" t="str">
        <f>PROPER(Agencies[[#This Row],[HSP Name]])</f>
        <v>Bethell Hospice</v>
      </c>
      <c r="AH52" t="s">
        <v>786</v>
      </c>
    </row>
    <row r="53" spans="24:34" x14ac:dyDescent="0.25">
      <c r="X53" t="s">
        <v>145</v>
      </c>
      <c r="Y53" t="s">
        <v>144</v>
      </c>
      <c r="Z53" t="str">
        <f>FCs[[#This Row],[FC Description]]&amp;" "&amp;FCs[[#This Row],[FC ID]]</f>
        <v>Addictions Treatment-Problem Gambling 72 5 10 78 12</v>
      </c>
      <c r="AC53" t="s">
        <v>767</v>
      </c>
      <c r="AD53" s="25" t="s">
        <v>781</v>
      </c>
      <c r="AE53" s="25" t="s">
        <v>783</v>
      </c>
      <c r="AF53" t="s">
        <v>785</v>
      </c>
      <c r="AG53" t="str">
        <f>PROPER(Agencies[[#This Row],[HSP Name]])</f>
        <v>Brampton Meals On Wheels</v>
      </c>
      <c r="AH53" t="s">
        <v>787</v>
      </c>
    </row>
    <row r="54" spans="24:34" x14ac:dyDescent="0.25">
      <c r="X54" t="s">
        <v>147</v>
      </c>
      <c r="Y54" t="s">
        <v>146</v>
      </c>
      <c r="Z54" t="str">
        <f>FCs[[#This Row],[FC Description]]&amp;" "&amp;FCs[[#This Row],[FC ID]]</f>
        <v>Addictions Withdrawal Mgmt. 72 5 10 78 20</v>
      </c>
      <c r="AC54" t="s">
        <v>767</v>
      </c>
      <c r="AD54" s="25" t="s">
        <v>788</v>
      </c>
      <c r="AE54" s="25" t="s">
        <v>792</v>
      </c>
      <c r="AF54" t="s">
        <v>796</v>
      </c>
      <c r="AG54" t="str">
        <f>PROPER(Agencies[[#This Row],[HSP Name]])</f>
        <v>Caledon Community Services</v>
      </c>
      <c r="AH54" t="s">
        <v>800</v>
      </c>
    </row>
    <row r="55" spans="24:34" x14ac:dyDescent="0.25">
      <c r="X55" t="s">
        <v>149</v>
      </c>
      <c r="Y55" t="s">
        <v>148</v>
      </c>
      <c r="Z55" t="str">
        <f>FCs[[#This Row],[FC Description]]&amp;" "&amp;FCs[[#This Row],[FC ID]]</f>
        <v>Crisis Intervention - Hot Lines 72 5 15 10</v>
      </c>
      <c r="AC55" t="s">
        <v>767</v>
      </c>
      <c r="AD55" s="25" t="s">
        <v>789</v>
      </c>
      <c r="AE55" s="25" t="s">
        <v>793</v>
      </c>
      <c r="AF55" t="s">
        <v>797</v>
      </c>
      <c r="AG55" t="str">
        <f>PROPER(Agencies[[#This Row],[HSP Name]])</f>
        <v>Caledon Meals On Wheels</v>
      </c>
      <c r="AH55" t="s">
        <v>801</v>
      </c>
    </row>
    <row r="56" spans="24:34" x14ac:dyDescent="0.25">
      <c r="X56" t="s">
        <v>151</v>
      </c>
      <c r="Y56" t="s">
        <v>150</v>
      </c>
      <c r="Z56" t="str">
        <f>FCs[[#This Row],[FC Description]]&amp;" "&amp;FCs[[#This Row],[FC ID]]</f>
        <v>Crisis Intervention - Abuse Services 72 5 15 15</v>
      </c>
      <c r="AC56" t="s">
        <v>767</v>
      </c>
      <c r="AD56" s="25" t="s">
        <v>790</v>
      </c>
      <c r="AE56" s="25" t="s">
        <v>794</v>
      </c>
      <c r="AF56" t="s">
        <v>798</v>
      </c>
      <c r="AG56" t="str">
        <f>PROPER(Agencies[[#This Row],[HSP Name]])</f>
        <v>Canadian Mental Health Association - Peel Branch</v>
      </c>
      <c r="AH56" t="s">
        <v>802</v>
      </c>
    </row>
    <row r="57" spans="24:34" x14ac:dyDescent="0.25">
      <c r="X57" t="s">
        <v>153</v>
      </c>
      <c r="Y57" t="s">
        <v>152</v>
      </c>
      <c r="Z57" t="str">
        <f>FCs[[#This Row],[FC Description]]&amp;" "&amp;FCs[[#This Row],[FC ID]]</f>
        <v>Crisis Intervention - Quick Response 72 5 15 20</v>
      </c>
      <c r="AC57" t="s">
        <v>767</v>
      </c>
      <c r="AD57" s="25" t="s">
        <v>791</v>
      </c>
      <c r="AE57" s="25" t="s">
        <v>795</v>
      </c>
      <c r="AF57" t="s">
        <v>799</v>
      </c>
      <c r="AG57" t="str">
        <f>PROPER(Agencies[[#This Row],[HSP Name]])</f>
        <v>Canes Community Care</v>
      </c>
      <c r="AH57" t="s">
        <v>803</v>
      </c>
    </row>
    <row r="58" spans="24:34" x14ac:dyDescent="0.25">
      <c r="X58" t="s">
        <v>155</v>
      </c>
      <c r="Y58" t="s">
        <v>154</v>
      </c>
      <c r="Z58" t="str">
        <f>FCs[[#This Row],[FC Description]]&amp;" "&amp;FCs[[#This Row],[FC ID]]</f>
        <v>Crisis Intervention - Victim Services 72 5 15 25</v>
      </c>
      <c r="AC58" t="s">
        <v>767</v>
      </c>
      <c r="AD58" s="25" t="s">
        <v>804</v>
      </c>
      <c r="AE58" s="25" t="s">
        <v>805</v>
      </c>
      <c r="AF58" t="s">
        <v>806</v>
      </c>
      <c r="AG58" t="str">
        <f>PROPER(Agencies[[#This Row],[HSP Name]])</f>
        <v>County Of Dufferin</v>
      </c>
      <c r="AH58" t="s">
        <v>807</v>
      </c>
    </row>
    <row r="59" spans="24:34" x14ac:dyDescent="0.25">
      <c r="X59" t="s">
        <v>157</v>
      </c>
      <c r="Y59" t="s">
        <v>156</v>
      </c>
      <c r="Z59" t="str">
        <f>FCs[[#This Row],[FC Description]]&amp;" "&amp;FCs[[#This Row],[FC ID]]</f>
        <v>Crisis Intervention - Combined 72 5 15 30</v>
      </c>
      <c r="AC59" t="s">
        <v>767</v>
      </c>
      <c r="AD59" s="25" t="s">
        <v>808</v>
      </c>
      <c r="AE59" s="25" t="s">
        <v>811</v>
      </c>
      <c r="AF59" t="s">
        <v>814</v>
      </c>
      <c r="AG59" t="str">
        <f>PROPER(Agencies[[#This Row],[HSP Name]])</f>
        <v>Family Transition Place</v>
      </c>
      <c r="AH59" t="s">
        <v>817</v>
      </c>
    </row>
    <row r="60" spans="24:34" x14ac:dyDescent="0.25">
      <c r="X60" t="s">
        <v>159</v>
      </c>
      <c r="Y60" t="s">
        <v>158</v>
      </c>
      <c r="Z60" t="str">
        <f>FCs[[#This Row],[FC Description]]&amp;" "&amp;FCs[[#This Row],[FC ID]]</f>
        <v>Crisis Intervention - Mental Health 72 5 15 76</v>
      </c>
      <c r="AC60" t="s">
        <v>767</v>
      </c>
      <c r="AD60" s="25" t="s">
        <v>809</v>
      </c>
      <c r="AE60" s="25" t="s">
        <v>812</v>
      </c>
      <c r="AF60" t="s">
        <v>815</v>
      </c>
      <c r="AG60" t="str">
        <f>PROPER(Agencies[[#This Row],[HSP Name]])</f>
        <v>Friends &amp; Advocates-Peel</v>
      </c>
      <c r="AH60" t="s">
        <v>818</v>
      </c>
    </row>
    <row r="61" spans="24:34" x14ac:dyDescent="0.25">
      <c r="X61" t="s">
        <v>161</v>
      </c>
      <c r="Y61" t="s">
        <v>160</v>
      </c>
      <c r="Z61" t="str">
        <f>FCs[[#This Row],[FC Description]]&amp;" "&amp;FCs[[#This Row],[FC ID]]</f>
        <v>Day/Night Combined 72 5 20 30</v>
      </c>
      <c r="AC61" t="s">
        <v>767</v>
      </c>
      <c r="AD61" s="25" t="s">
        <v>810</v>
      </c>
      <c r="AE61" s="25" t="s">
        <v>813</v>
      </c>
      <c r="AF61" t="s">
        <v>816</v>
      </c>
      <c r="AG61" t="str">
        <f>PROPER(Agencies[[#This Row],[HSP Name]])</f>
        <v>Governing Council Of The Salvation Army In Canada</v>
      </c>
      <c r="AH61" t="s">
        <v>819</v>
      </c>
    </row>
    <row r="62" spans="24:34" x14ac:dyDescent="0.25">
      <c r="X62" t="s">
        <v>163</v>
      </c>
      <c r="Y62" t="s">
        <v>162</v>
      </c>
      <c r="Z62" t="str">
        <f>FCs[[#This Row],[FC Description]]&amp;" "&amp;FCs[[#This Row],[FC ID]]</f>
        <v>Day/Night Care Mental Health General 72 5 20 76 10</v>
      </c>
      <c r="AC62" t="s">
        <v>767</v>
      </c>
      <c r="AD62" s="25" t="s">
        <v>820</v>
      </c>
      <c r="AE62" s="25" t="s">
        <v>822</v>
      </c>
      <c r="AF62" t="s">
        <v>824</v>
      </c>
      <c r="AG62" t="str">
        <f>PROPER(Agencies[[#This Row],[HSP Name]])</f>
        <v>Holland Christian Homes Inc</v>
      </c>
      <c r="AH62" t="s">
        <v>826</v>
      </c>
    </row>
    <row r="63" spans="24:34" x14ac:dyDescent="0.25">
      <c r="X63" t="s">
        <v>165</v>
      </c>
      <c r="Y63" t="s">
        <v>164</v>
      </c>
      <c r="Z63" t="str">
        <f>FCs[[#This Row],[FC Description]]&amp;" "&amp;FCs[[#This Row],[FC ID]]</f>
        <v>Day/Night Care MH Eating Disorders 72 5 20 76 70</v>
      </c>
      <c r="AC63" t="s">
        <v>767</v>
      </c>
      <c r="AD63" s="25" t="s">
        <v>821</v>
      </c>
      <c r="AE63" s="25" t="s">
        <v>823</v>
      </c>
      <c r="AF63" t="s">
        <v>825</v>
      </c>
      <c r="AG63" t="str">
        <f>PROPER(Agencies[[#This Row],[HSP Name]])</f>
        <v>Hospice Dufferin</v>
      </c>
      <c r="AH63" t="s">
        <v>825</v>
      </c>
    </row>
    <row r="64" spans="24:34" x14ac:dyDescent="0.25">
      <c r="X64" t="s">
        <v>167</v>
      </c>
      <c r="Y64" t="s">
        <v>166</v>
      </c>
      <c r="Z64" t="str">
        <f>FCs[[#This Row],[FC Description]]&amp;" "&amp;FCs[[#This Row],[FC ID]]</f>
        <v>Day/Evening Addictions Treatment 72 5 20 78 10</v>
      </c>
      <c r="AC64" t="s">
        <v>767</v>
      </c>
      <c r="AD64" s="25" t="s">
        <v>827</v>
      </c>
      <c r="AE64" s="25" t="s">
        <v>828</v>
      </c>
      <c r="AF64" t="s">
        <v>829</v>
      </c>
      <c r="AG64" t="str">
        <f>PROPER(Agencies[[#This Row],[HSP Name]])</f>
        <v>Indus Community Services</v>
      </c>
      <c r="AH64" t="s">
        <v>830</v>
      </c>
    </row>
    <row r="65" spans="24:34" x14ac:dyDescent="0.25">
      <c r="X65" t="s">
        <v>169</v>
      </c>
      <c r="Y65" t="s">
        <v>168</v>
      </c>
      <c r="Z65" t="str">
        <f>FCs[[#This Row],[FC Description]]&amp;" "&amp;FCs[[#This Row],[FC ID]]</f>
        <v>Day Care - Rehab Medical 72 5 20 81 10</v>
      </c>
      <c r="AC65" t="s">
        <v>767</v>
      </c>
      <c r="AD65" s="25" t="s">
        <v>831</v>
      </c>
      <c r="AE65" s="25" t="s">
        <v>832</v>
      </c>
      <c r="AF65" t="s">
        <v>833</v>
      </c>
      <c r="AG65" t="str">
        <f>PROPER(Agencies[[#This Row],[HSP Name]])</f>
        <v>Peel Cheshire Home (Brampton) Inc</v>
      </c>
      <c r="AH65" t="s">
        <v>834</v>
      </c>
    </row>
    <row r="66" spans="24:34" x14ac:dyDescent="0.25">
      <c r="X66" t="s">
        <v>171</v>
      </c>
      <c r="Y66" t="s">
        <v>170</v>
      </c>
      <c r="Z66" t="str">
        <f>FCs[[#This Row],[FC Description]]&amp;" "&amp;FCs[[#This Row],[FC ID]]</f>
        <v>Day Care - Rehab Trauma 72 5 20 81 28</v>
      </c>
      <c r="AC66" t="s">
        <v>767</v>
      </c>
      <c r="AD66" s="25" t="s">
        <v>835</v>
      </c>
      <c r="AE66" s="25" t="s">
        <v>842</v>
      </c>
      <c r="AF66" t="s">
        <v>849</v>
      </c>
      <c r="AG66" t="str">
        <f>PROPER(Agencies[[#This Row],[HSP Name]])</f>
        <v>Peel Senior Link</v>
      </c>
      <c r="AH66" t="s">
        <v>856</v>
      </c>
    </row>
    <row r="67" spans="24:34" x14ac:dyDescent="0.25">
      <c r="X67" t="s">
        <v>173</v>
      </c>
      <c r="Y67" t="s">
        <v>172</v>
      </c>
      <c r="Z67" t="str">
        <f>FCs[[#This Row],[FC Description]]&amp;" "&amp;FCs[[#This Row],[FC ID]]</f>
        <v>Day Care - Rehab Combined 72 5 20 81 30</v>
      </c>
      <c r="AC67" t="s">
        <v>767</v>
      </c>
      <c r="AD67" s="25" t="s">
        <v>836</v>
      </c>
      <c r="AE67" s="25" t="s">
        <v>843</v>
      </c>
      <c r="AF67" t="s">
        <v>850</v>
      </c>
      <c r="AG67" t="str">
        <f>PROPER(Agencies[[#This Row],[HSP Name]])</f>
        <v>Punjabi Community Health Services</v>
      </c>
      <c r="AH67" t="s">
        <v>857</v>
      </c>
    </row>
    <row r="68" spans="24:34" x14ac:dyDescent="0.25">
      <c r="X68" t="s">
        <v>175</v>
      </c>
      <c r="Y68" t="s">
        <v>174</v>
      </c>
      <c r="Z68" t="str">
        <f>FCs[[#This Row],[FC Description]]&amp;" "&amp;FCs[[#This Row],[FC ID]]</f>
        <v>Day Care - Rehab Burn 72 5 20 81 35</v>
      </c>
      <c r="AC68" t="s">
        <v>767</v>
      </c>
      <c r="AD68" s="25" t="s">
        <v>837</v>
      </c>
      <c r="AE68" s="25" t="s">
        <v>844</v>
      </c>
      <c r="AF68" t="s">
        <v>851</v>
      </c>
      <c r="AG68" t="str">
        <f>PROPER(Agencies[[#This Row],[HSP Name]])</f>
        <v>Regional Municipality Of Peel</v>
      </c>
      <c r="AH68" t="s">
        <v>858</v>
      </c>
    </row>
    <row r="69" spans="24:34" x14ac:dyDescent="0.25">
      <c r="X69" t="s">
        <v>177</v>
      </c>
      <c r="Y69" t="s">
        <v>176</v>
      </c>
      <c r="Z69" t="str">
        <f>FCs[[#This Row],[FC Description]]&amp;" "&amp;FCs[[#This Row],[FC ID]]</f>
        <v>Day Care - Rehab Cardiac 72 5 20 81 42</v>
      </c>
      <c r="AC69" t="s">
        <v>767</v>
      </c>
      <c r="AD69" s="25" t="s">
        <v>838</v>
      </c>
      <c r="AE69" s="25" t="s">
        <v>845</v>
      </c>
      <c r="AF69" t="s">
        <v>852</v>
      </c>
      <c r="AG69" t="str">
        <f>PROPER(Agencies[[#This Row],[HSP Name]])</f>
        <v>Rexdale Community Health Centre</v>
      </c>
      <c r="AH69" t="s">
        <v>859</v>
      </c>
    </row>
    <row r="70" spans="24:34" x14ac:dyDescent="0.25">
      <c r="X70" t="s">
        <v>179</v>
      </c>
      <c r="Y70" t="s">
        <v>178</v>
      </c>
      <c r="Z70" t="str">
        <f>FCs[[#This Row],[FC Description]]&amp;" "&amp;FCs[[#This Row],[FC ID]]</f>
        <v>Day Care - Rehab Head Injury/Acquired Brain Injury 72 5 20 81 61</v>
      </c>
      <c r="AC70" t="s">
        <v>767</v>
      </c>
      <c r="AD70" s="25" t="s">
        <v>839</v>
      </c>
      <c r="AE70" s="25" t="s">
        <v>846</v>
      </c>
      <c r="AF70" t="s">
        <v>853</v>
      </c>
      <c r="AG70" t="str">
        <f>PROPER(Agencies[[#This Row],[HSP Name]])</f>
        <v>Richview Community Care Services Corporation</v>
      </c>
      <c r="AH70" t="s">
        <v>860</v>
      </c>
    </row>
    <row r="71" spans="24:34" x14ac:dyDescent="0.25">
      <c r="X71" t="s">
        <v>181</v>
      </c>
      <c r="Y71" t="s">
        <v>180</v>
      </c>
      <c r="Z71" t="str">
        <f>FCs[[#This Row],[FC Description]]&amp;" "&amp;FCs[[#This Row],[FC ID]]</f>
        <v>Day Care - Rehab Spinal Cord 72 5 20 81 63</v>
      </c>
      <c r="AC71" t="s">
        <v>767</v>
      </c>
      <c r="AD71" s="25" t="s">
        <v>840</v>
      </c>
      <c r="AE71" s="25" t="s">
        <v>847</v>
      </c>
      <c r="AF71" t="s">
        <v>854</v>
      </c>
      <c r="AG71" t="str">
        <f>PROPER(Agencies[[#This Row],[HSP Name]])</f>
        <v>Roots Community Services Inc</v>
      </c>
      <c r="AH71" t="s">
        <v>861</v>
      </c>
    </row>
    <row r="72" spans="24:34" x14ac:dyDescent="0.25">
      <c r="X72" t="s">
        <v>183</v>
      </c>
      <c r="Y72" t="s">
        <v>182</v>
      </c>
      <c r="Z72" t="str">
        <f>FCs[[#This Row],[FC Description]]&amp;" "&amp;FCs[[#This Row],[FC ID]]</f>
        <v>Day Care - Rehab Oncology 72 5 20 81 66</v>
      </c>
      <c r="AC72" t="s">
        <v>767</v>
      </c>
      <c r="AD72" s="25" t="s">
        <v>841</v>
      </c>
      <c r="AE72" s="25" t="s">
        <v>848</v>
      </c>
      <c r="AF72" t="s">
        <v>855</v>
      </c>
      <c r="AG72" t="str">
        <f>PROPER(Agencies[[#This Row],[HSP Name]])</f>
        <v>Services And Housing In The Province</v>
      </c>
      <c r="AH72" t="s">
        <v>862</v>
      </c>
    </row>
    <row r="73" spans="24:34" x14ac:dyDescent="0.25">
      <c r="X73" t="s">
        <v>185</v>
      </c>
      <c r="Y73" t="s">
        <v>184</v>
      </c>
      <c r="Z73" t="str">
        <f>FCs[[#This Row],[FC Description]]&amp;" "&amp;FCs[[#This Row],[FC ID]]</f>
        <v>Day Care - Rehab Orthopedic 72 5 20 81 72</v>
      </c>
      <c r="AC73" t="s">
        <v>767</v>
      </c>
      <c r="AD73" s="25" t="s">
        <v>863</v>
      </c>
      <c r="AE73" s="25" t="s">
        <v>864</v>
      </c>
      <c r="AF73" t="s">
        <v>865</v>
      </c>
      <c r="AG73" t="str">
        <f>PROPER(Agencies[[#This Row],[HSP Name]])</f>
        <v>Wellfort Community Health Services</v>
      </c>
      <c r="AH73" t="s">
        <v>866</v>
      </c>
    </row>
    <row r="74" spans="24:34" x14ac:dyDescent="0.25">
      <c r="X74" t="s">
        <v>187</v>
      </c>
      <c r="Y74" t="s">
        <v>186</v>
      </c>
      <c r="Z74" t="str">
        <f>FCs[[#This Row],[FC Description]]&amp;" "&amp;FCs[[#This Row],[FC ID]]</f>
        <v>Day Care - Rehab Amputee Rehab 72 5 20 81 73</v>
      </c>
      <c r="AC74" t="s">
        <v>767</v>
      </c>
      <c r="AD74" s="25" t="s">
        <v>867</v>
      </c>
      <c r="AE74" s="25" t="s">
        <v>868</v>
      </c>
      <c r="AF74" t="s">
        <v>869</v>
      </c>
      <c r="AG74" t="str">
        <f>PROPER(Agencies[[#This Row],[HSP Name]])</f>
        <v>William Osler Health System</v>
      </c>
      <c r="AH74" t="s">
        <v>870</v>
      </c>
    </row>
    <row r="75" spans="24:34" x14ac:dyDescent="0.25">
      <c r="X75" t="s">
        <v>189</v>
      </c>
      <c r="Y75" t="s">
        <v>188</v>
      </c>
      <c r="Z75" t="str">
        <f>FCs[[#This Row],[FC Description]]&amp;" "&amp;FCs[[#This Row],[FC ID]]</f>
        <v>Day Care - Rehab Care Pediatric 72 5 20 81 74</v>
      </c>
      <c r="AC75" t="s">
        <v>871</v>
      </c>
      <c r="AD75" s="25" t="s">
        <v>872</v>
      </c>
      <c r="AE75" s="25" t="s">
        <v>873</v>
      </c>
      <c r="AF75" t="s">
        <v>874</v>
      </c>
      <c r="AG75" t="str">
        <f>PROPER(Agencies[[#This Row],[HSP Name]])</f>
        <v>Acclaim Health And Community Care Services</v>
      </c>
      <c r="AH75" t="s">
        <v>875</v>
      </c>
    </row>
    <row r="76" spans="24:34" x14ac:dyDescent="0.25">
      <c r="X76" t="s">
        <v>191</v>
      </c>
      <c r="Y76" t="s">
        <v>190</v>
      </c>
      <c r="Z76" t="str">
        <f>FCs[[#This Row],[FC Description]]&amp;" "&amp;FCs[[#This Row],[FC ID]]</f>
        <v>Day Care Regional Geriatric 72 5 20 96</v>
      </c>
      <c r="AC76" t="s">
        <v>871</v>
      </c>
      <c r="AD76" s="25" t="s">
        <v>770</v>
      </c>
      <c r="AE76" s="25" t="s">
        <v>773</v>
      </c>
      <c r="AF76" t="s">
        <v>776</v>
      </c>
      <c r="AG76" t="str">
        <f>PROPER(Agencies[[#This Row],[HSP Name]])</f>
        <v>Alzheimer Society Peel</v>
      </c>
      <c r="AH76" t="s">
        <v>779</v>
      </c>
    </row>
    <row r="77" spans="24:34" x14ac:dyDescent="0.25">
      <c r="X77" t="s">
        <v>193</v>
      </c>
      <c r="Y77" t="s">
        <v>192</v>
      </c>
      <c r="Z77" t="str">
        <f>FCs[[#This Row],[FC Description]]&amp;" "&amp;FCs[[#This Row],[FC ID]]</f>
        <v>In-Home HPS - Nursing - Visiting 72 5 30 40 11</v>
      </c>
      <c r="AC77" t="s">
        <v>871</v>
      </c>
      <c r="AD77" s="25" t="s">
        <v>876</v>
      </c>
      <c r="AE77" s="25" t="s">
        <v>624</v>
      </c>
      <c r="AF77" t="s">
        <v>628</v>
      </c>
      <c r="AG77" t="str">
        <f>PROPER(Agencies[[#This Row],[HSP Name]])</f>
        <v>Canadian Hearing Services Services Canadiens De L'Ouie</v>
      </c>
      <c r="AH77" t="s">
        <v>632</v>
      </c>
    </row>
    <row r="78" spans="24:34" x14ac:dyDescent="0.25">
      <c r="X78" t="s">
        <v>195</v>
      </c>
      <c r="Y78" t="s">
        <v>194</v>
      </c>
      <c r="Z78" t="str">
        <f>FCs[[#This Row],[FC Description]]&amp;" "&amp;FCs[[#This Row],[FC ID]]</f>
        <v>In-Home HPS - Nursing - Shift 72 5 30 40 12</v>
      </c>
      <c r="AC78" t="s">
        <v>871</v>
      </c>
      <c r="AD78" s="25" t="s">
        <v>877</v>
      </c>
      <c r="AE78" s="25" t="s">
        <v>878</v>
      </c>
      <c r="AF78" t="s">
        <v>879</v>
      </c>
      <c r="AG78" t="str">
        <f>PROPER(Agencies[[#This Row],[HSP Name]])</f>
        <v>Canadian Mental Health Association - Halton Branch</v>
      </c>
      <c r="AH78" t="s">
        <v>880</v>
      </c>
    </row>
    <row r="79" spans="24:34" x14ac:dyDescent="0.25">
      <c r="X79" t="s">
        <v>197</v>
      </c>
      <c r="Y79" t="s">
        <v>196</v>
      </c>
      <c r="Z79" t="str">
        <f>FCs[[#This Row],[FC Description]]&amp;" "&amp;FCs[[#This Row],[FC ID]]</f>
        <v>In-Home HPS - Remote – Managed Home Care 72 5 30 40 13</v>
      </c>
      <c r="AC79" t="s">
        <v>871</v>
      </c>
      <c r="AD79" s="25" t="s">
        <v>791</v>
      </c>
      <c r="AE79" s="25" t="s">
        <v>795</v>
      </c>
      <c r="AF79" t="s">
        <v>799</v>
      </c>
      <c r="AG79" t="str">
        <f>PROPER(Agencies[[#This Row],[HSP Name]])</f>
        <v>Canes Community Care</v>
      </c>
      <c r="AH79" t="s">
        <v>881</v>
      </c>
    </row>
    <row r="80" spans="24:34" x14ac:dyDescent="0.25">
      <c r="X80" t="s">
        <v>199</v>
      </c>
      <c r="Y80" t="s">
        <v>198</v>
      </c>
      <c r="Z80" t="str">
        <f>FCs[[#This Row],[FC Description]]&amp;" "&amp;FCs[[#This Row],[FC ID]]</f>
        <v>In-Home HPS – Wound Care Outcome 72 5 30 40 20</v>
      </c>
      <c r="AC80" t="s">
        <v>871</v>
      </c>
      <c r="AD80" s="25" t="s">
        <v>882</v>
      </c>
      <c r="AE80" s="25" t="s">
        <v>884</v>
      </c>
      <c r="AF80" t="s">
        <v>885</v>
      </c>
      <c r="AG80" t="str">
        <f>PROPER(Agencies[[#This Row],[HSP Name]])</f>
        <v>City Of Mississauga</v>
      </c>
      <c r="AH80" t="s">
        <v>886</v>
      </c>
    </row>
    <row r="81" spans="24:34" x14ac:dyDescent="0.25">
      <c r="X81" t="s">
        <v>201</v>
      </c>
      <c r="Y81" t="s">
        <v>200</v>
      </c>
      <c r="Z81" t="str">
        <f>FCs[[#This Row],[FC Description]]&amp;" "&amp;FCs[[#This Row],[FC ID]]</f>
        <v>In-Home HPS - Orthopedic Care Outcome 72 5 30 40 25</v>
      </c>
      <c r="AC81" t="s">
        <v>871</v>
      </c>
      <c r="AD81" s="25" t="s">
        <v>883</v>
      </c>
      <c r="AE81" s="25" t="s">
        <v>656</v>
      </c>
      <c r="AF81" t="s">
        <v>662</v>
      </c>
      <c r="AG81" t="str">
        <f>PROPER(Agencies[[#This Row],[HSP Name]])</f>
        <v>City Of Toronto</v>
      </c>
      <c r="AH81" t="s">
        <v>668</v>
      </c>
    </row>
    <row r="82" spans="24:34" x14ac:dyDescent="0.25">
      <c r="X82" t="s">
        <v>203</v>
      </c>
      <c r="Y82" t="s">
        <v>202</v>
      </c>
      <c r="Z82" t="str">
        <f>FCs[[#This Row],[FC Description]]&amp;" "&amp;FCs[[#This Row],[FC ID]]</f>
        <v>In-Home HPS - Respiratory Services 72 5 30 40 35</v>
      </c>
      <c r="AC82" t="s">
        <v>871</v>
      </c>
      <c r="AD82" s="25" t="s">
        <v>887</v>
      </c>
      <c r="AE82" s="25" t="s">
        <v>888</v>
      </c>
      <c r="AF82" t="s">
        <v>889</v>
      </c>
      <c r="AG82" t="str">
        <f>PROPER(Agencies[[#This Row],[HSP Name]])</f>
        <v>Dixie Bloor Neighbourhood Drop-In Centre</v>
      </c>
      <c r="AH82" t="s">
        <v>890</v>
      </c>
    </row>
    <row r="83" spans="24:34" x14ac:dyDescent="0.25">
      <c r="X83" t="s">
        <v>205</v>
      </c>
      <c r="Y83" t="s">
        <v>204</v>
      </c>
      <c r="Z83" t="str">
        <f>FCs[[#This Row],[FC Description]]&amp;" "&amp;FCs[[#This Row],[FC ID]]</f>
        <v>In-Home HPS – Medication Management 72 5 30 40 40</v>
      </c>
      <c r="AC83" t="s">
        <v>871</v>
      </c>
      <c r="AD83" s="25" t="s">
        <v>891</v>
      </c>
      <c r="AE83" s="25" t="s">
        <v>892</v>
      </c>
      <c r="AF83" t="s">
        <v>893</v>
      </c>
      <c r="AG83" t="str">
        <f>PROPER(Agencies[[#This Row],[HSP Name]])</f>
        <v>Dorothy Ley Hospice Inc</v>
      </c>
      <c r="AH83" t="s">
        <v>894</v>
      </c>
    </row>
    <row r="84" spans="24:34" x14ac:dyDescent="0.25">
      <c r="X84" t="s">
        <v>207</v>
      </c>
      <c r="Y84" t="s">
        <v>206</v>
      </c>
      <c r="Z84" t="str">
        <f>FCs[[#This Row],[FC Description]]&amp;" "&amp;FCs[[#This Row],[FC ID]]</f>
        <v>In-Home HPS - Nutrition/Dietetic 72 5 30 40 45</v>
      </c>
      <c r="AC84" t="s">
        <v>871</v>
      </c>
      <c r="AD84" s="25" t="s">
        <v>895</v>
      </c>
      <c r="AE84" s="25" t="s">
        <v>901</v>
      </c>
      <c r="AF84" t="s">
        <v>907</v>
      </c>
      <c r="AG84" t="str">
        <f>PROPER(Agencies[[#This Row],[HSP Name]])</f>
        <v>Halton Alcohol Drug &amp; Gambling Assessment Prevention Treatment - Adapt</v>
      </c>
      <c r="AH84" t="s">
        <v>913</v>
      </c>
    </row>
    <row r="85" spans="24:34" x14ac:dyDescent="0.25">
      <c r="X85" t="s">
        <v>209</v>
      </c>
      <c r="Y85" t="s">
        <v>208</v>
      </c>
      <c r="Z85" t="str">
        <f>FCs[[#This Row],[FC Description]]&amp;" "&amp;FCs[[#This Row],[FC ID]]</f>
        <v>In-Home HPS - Physiotherapy 72 5 30 40 50</v>
      </c>
      <c r="AC85" t="s">
        <v>871</v>
      </c>
      <c r="AD85" s="25" t="s">
        <v>896</v>
      </c>
      <c r="AE85" s="25" t="s">
        <v>902</v>
      </c>
      <c r="AF85" t="s">
        <v>908</v>
      </c>
      <c r="AG85" t="str">
        <f>PROPER(Agencies[[#This Row],[HSP Name]])</f>
        <v>Halton Healthcare Services Corp</v>
      </c>
      <c r="AH85" t="s">
        <v>914</v>
      </c>
    </row>
    <row r="86" spans="24:34" x14ac:dyDescent="0.25">
      <c r="X86" t="s">
        <v>211</v>
      </c>
      <c r="Y86" t="s">
        <v>210</v>
      </c>
      <c r="Z86" t="str">
        <f>FCs[[#This Row],[FC Description]]&amp;" "&amp;FCs[[#This Row],[FC ID]]</f>
        <v>In-Home HPS - Occupational Therapy 72 5 30 40 55</v>
      </c>
      <c r="AC86" t="s">
        <v>871</v>
      </c>
      <c r="AD86" s="25" t="s">
        <v>897</v>
      </c>
      <c r="AE86" s="25" t="s">
        <v>903</v>
      </c>
      <c r="AF86" t="s">
        <v>909</v>
      </c>
      <c r="AG86" t="str">
        <f>PROPER(Agencies[[#This Row],[HSP Name]])</f>
        <v>Hearthouse Hospice Inc</v>
      </c>
      <c r="AH86" t="s">
        <v>915</v>
      </c>
    </row>
    <row r="87" spans="24:34" x14ac:dyDescent="0.25">
      <c r="X87" t="s">
        <v>213</v>
      </c>
      <c r="Y87" t="s">
        <v>212</v>
      </c>
      <c r="Z87" t="str">
        <f>FCs[[#This Row],[FC Description]]&amp;" "&amp;FCs[[#This Row],[FC ID]]</f>
        <v>In-Home HPS - Speech Lang. Path. 72 5 30 40 62</v>
      </c>
      <c r="AC87" t="s">
        <v>871</v>
      </c>
      <c r="AD87" s="25" t="s">
        <v>898</v>
      </c>
      <c r="AE87" s="25" t="s">
        <v>904</v>
      </c>
      <c r="AF87" t="s">
        <v>910</v>
      </c>
      <c r="AG87" t="str">
        <f>PROPER(Agencies[[#This Row],[HSP Name]])</f>
        <v>Hope Place Centres</v>
      </c>
      <c r="AH87" t="s">
        <v>916</v>
      </c>
    </row>
    <row r="88" spans="24:34" x14ac:dyDescent="0.25">
      <c r="X88" t="s">
        <v>215</v>
      </c>
      <c r="Y88" t="s">
        <v>214</v>
      </c>
      <c r="Z88" t="str">
        <f>FCs[[#This Row],[FC Description]]&amp;" "&amp;FCs[[#This Row],[FC ID]]</f>
        <v>In-Home HPS - Social Work 72 5 30 40 70</v>
      </c>
      <c r="AC88" t="s">
        <v>871</v>
      </c>
      <c r="AD88" s="25" t="s">
        <v>827</v>
      </c>
      <c r="AE88" s="25" t="s">
        <v>828</v>
      </c>
      <c r="AF88" t="s">
        <v>829</v>
      </c>
      <c r="AG88" t="str">
        <f>PROPER(Agencies[[#This Row],[HSP Name]])</f>
        <v>Indus Community Services</v>
      </c>
      <c r="AH88" t="s">
        <v>830</v>
      </c>
    </row>
    <row r="89" spans="24:34" x14ac:dyDescent="0.25">
      <c r="X89" t="s">
        <v>217</v>
      </c>
      <c r="Y89" t="s">
        <v>216</v>
      </c>
      <c r="Z89" t="str">
        <f>FCs[[#This Row],[FC Description]]&amp;" "&amp;FCs[[#This Row],[FC ID]]</f>
        <v>In-Home HPS - Psychology 72 5 30 40 75</v>
      </c>
      <c r="AC89" t="s">
        <v>871</v>
      </c>
      <c r="AD89" s="25" t="s">
        <v>899</v>
      </c>
      <c r="AE89" s="25" t="s">
        <v>905</v>
      </c>
      <c r="AF89" t="s">
        <v>911</v>
      </c>
      <c r="AG89" t="str">
        <f>PROPER(Agencies[[#This Row],[HSP Name]])</f>
        <v>Ivan Franko Homes</v>
      </c>
      <c r="AH89" t="s">
        <v>917</v>
      </c>
    </row>
    <row r="90" spans="24:34" x14ac:dyDescent="0.25">
      <c r="X90" t="s">
        <v>219</v>
      </c>
      <c r="Y90" t="s">
        <v>218</v>
      </c>
      <c r="Z90" t="str">
        <f>FCs[[#This Row],[FC Description]]&amp;" "&amp;FCs[[#This Row],[FC ID]]</f>
        <v>Private/Home SHPS - Nursing - Visiting 72 5 30 42 11</v>
      </c>
      <c r="AC90" t="s">
        <v>871</v>
      </c>
      <c r="AD90" s="25" t="s">
        <v>900</v>
      </c>
      <c r="AE90" s="25" t="s">
        <v>906</v>
      </c>
      <c r="AF90" t="s">
        <v>912</v>
      </c>
      <c r="AG90" t="str">
        <f>PROPER(Agencies[[#This Row],[HSP Name]])</f>
        <v>Joyce Scott Non-Profit Homes Inc</v>
      </c>
      <c r="AH90" t="s">
        <v>918</v>
      </c>
    </row>
    <row r="91" spans="24:34" x14ac:dyDescent="0.25">
      <c r="X91" t="s">
        <v>221</v>
      </c>
      <c r="Y91" t="s">
        <v>220</v>
      </c>
      <c r="Z91" t="str">
        <f>FCs[[#This Row],[FC Description]]&amp;" "&amp;FCs[[#This Row],[FC ID]]</f>
        <v>Private/Home SHPS - Nursing - Shift 72 5 30 42 12</v>
      </c>
      <c r="AC91" t="s">
        <v>871</v>
      </c>
      <c r="AD91" s="25">
        <v>302</v>
      </c>
      <c r="AE91" s="25" t="s">
        <v>921</v>
      </c>
      <c r="AF91" t="s">
        <v>923</v>
      </c>
      <c r="AG91" t="str">
        <f>PROPER(Agencies[[#This Row],[HSP Name]])</f>
        <v>Lakeshore Area Multi-Services Project Inc (Lamp)</v>
      </c>
      <c r="AH91" t="s">
        <v>925</v>
      </c>
    </row>
    <row r="92" spans="24:34" x14ac:dyDescent="0.25">
      <c r="X92" t="s">
        <v>223</v>
      </c>
      <c r="Y92" t="s">
        <v>222</v>
      </c>
      <c r="Z92" t="str">
        <f>FCs[[#This Row],[FC Description]]&amp;" "&amp;FCs[[#This Row],[FC ID]]</f>
        <v>Private/Home SHPS - Nutrition/Dietetic 72 5 30 42 45</v>
      </c>
      <c r="AC92" t="s">
        <v>871</v>
      </c>
      <c r="AD92" s="25" t="s">
        <v>919</v>
      </c>
      <c r="AE92" s="25" t="s">
        <v>922</v>
      </c>
      <c r="AF92" t="s">
        <v>924</v>
      </c>
      <c r="AG92" t="str">
        <f>PROPER(Agencies[[#This Row],[HSP Name]])</f>
        <v>Links2Care</v>
      </c>
      <c r="AH92" t="s">
        <v>926</v>
      </c>
    </row>
    <row r="93" spans="24:34" x14ac:dyDescent="0.25">
      <c r="X93" t="s">
        <v>225</v>
      </c>
      <c r="Y93" t="s">
        <v>224</v>
      </c>
      <c r="Z93" t="str">
        <f>FCs[[#This Row],[FC Description]]&amp;" "&amp;FCs[[#This Row],[FC ID]]</f>
        <v>Private/Home SHPS - Physiotherapy 72 5 30 42 50</v>
      </c>
      <c r="AC93" t="s">
        <v>871</v>
      </c>
      <c r="AD93" s="25" t="s">
        <v>920</v>
      </c>
      <c r="AE93" s="25" t="s">
        <v>543</v>
      </c>
      <c r="AF93" t="s">
        <v>702</v>
      </c>
      <c r="AG93" t="str">
        <f>PROPER(Agencies[[#This Row],[HSP Name]])</f>
        <v>March Of Dimes Canada</v>
      </c>
      <c r="AH93" t="s">
        <v>703</v>
      </c>
    </row>
    <row r="94" spans="24:34" x14ac:dyDescent="0.25">
      <c r="X94" t="s">
        <v>227</v>
      </c>
      <c r="Y94" t="s">
        <v>226</v>
      </c>
      <c r="Z94" t="str">
        <f>FCs[[#This Row],[FC Description]]&amp;" "&amp;FCs[[#This Row],[FC ID]]</f>
        <v>Private/Home SHPS - Occupational Therapy 72 5 30 42 55</v>
      </c>
      <c r="AC94" t="s">
        <v>871</v>
      </c>
      <c r="AD94" s="25" t="s">
        <v>927</v>
      </c>
      <c r="AE94" s="25" t="s">
        <v>931</v>
      </c>
      <c r="AF94" t="s">
        <v>935</v>
      </c>
      <c r="AG94" t="str">
        <f>PROPER(Agencies[[#This Row],[HSP Name]])</f>
        <v>Micba Forum Italia Community Services</v>
      </c>
      <c r="AH94" t="s">
        <v>939</v>
      </c>
    </row>
    <row r="95" spans="24:34" x14ac:dyDescent="0.25">
      <c r="X95" t="s">
        <v>229</v>
      </c>
      <c r="Y95" t="s">
        <v>228</v>
      </c>
      <c r="Z95" t="str">
        <f>FCs[[#This Row],[FC Description]]&amp;" "&amp;FCs[[#This Row],[FC ID]]</f>
        <v>Private/Home SHPS - Speech Lang. Path. 72 5 30 42 62</v>
      </c>
      <c r="AC95" t="s">
        <v>871</v>
      </c>
      <c r="AD95" s="25" t="s">
        <v>928</v>
      </c>
      <c r="AE95" s="25" t="s">
        <v>932</v>
      </c>
      <c r="AF95" t="s">
        <v>936</v>
      </c>
      <c r="AG95" t="str">
        <f>PROPER(Agencies[[#This Row],[HSP Name]])</f>
        <v>Milton Meals On Wheels</v>
      </c>
      <c r="AH95" t="s">
        <v>940</v>
      </c>
    </row>
    <row r="96" spans="24:34" x14ac:dyDescent="0.25">
      <c r="X96" t="s">
        <v>231</v>
      </c>
      <c r="Y96" t="s">
        <v>230</v>
      </c>
      <c r="Z96" t="str">
        <f>FCs[[#This Row],[FC Description]]&amp;" "&amp;FCs[[#This Row],[FC ID]]</f>
        <v>Public SHPS - Nursing - Visiting 72 5 30 44 11</v>
      </c>
      <c r="AC96" t="s">
        <v>871</v>
      </c>
      <c r="AD96" s="25" t="s">
        <v>929</v>
      </c>
      <c r="AE96" s="25" t="s">
        <v>933</v>
      </c>
      <c r="AF96" t="s">
        <v>937</v>
      </c>
      <c r="AG96" t="str">
        <f>PROPER(Agencies[[#This Row],[HSP Name]])</f>
        <v>Mind Forward Brain Injury Services Ontario</v>
      </c>
      <c r="AH96" t="s">
        <v>941</v>
      </c>
    </row>
    <row r="97" spans="24:34" x14ac:dyDescent="0.25">
      <c r="X97" t="s">
        <v>233</v>
      </c>
      <c r="Y97" t="s">
        <v>232</v>
      </c>
      <c r="Z97" t="str">
        <f>FCs[[#This Row],[FC Description]]&amp;" "&amp;FCs[[#This Row],[FC ID]]</f>
        <v>Public SHPS - Nursing - Shift 72 5 30 44 12</v>
      </c>
      <c r="AC97" t="s">
        <v>871</v>
      </c>
      <c r="AD97" s="25" t="s">
        <v>930</v>
      </c>
      <c r="AE97" s="25" t="s">
        <v>934</v>
      </c>
      <c r="AF97" t="s">
        <v>938</v>
      </c>
      <c r="AG97" t="str">
        <f>PROPER(Agencies[[#This Row],[HSP Name]])</f>
        <v>Mississauga Integrated Care Centre</v>
      </c>
      <c r="AH97" t="s">
        <v>942</v>
      </c>
    </row>
    <row r="98" spans="24:34" x14ac:dyDescent="0.25">
      <c r="X98" t="s">
        <v>235</v>
      </c>
      <c r="Y98" t="s">
        <v>234</v>
      </c>
      <c r="Z98" t="str">
        <f>FCs[[#This Row],[FC Description]]&amp;" "&amp;FCs[[#This Row],[FC ID]]</f>
        <v>Public SHPS - Nutrition/Dietetic 72 5 30 44 45</v>
      </c>
      <c r="AC98" t="s">
        <v>871</v>
      </c>
      <c r="AD98" s="25" t="s">
        <v>943</v>
      </c>
      <c r="AE98" s="25" t="s">
        <v>947</v>
      </c>
      <c r="AF98" t="s">
        <v>951</v>
      </c>
      <c r="AG98" t="str">
        <f>PROPER(Agencies[[#This Row],[HSP Name]])</f>
        <v>Nucleus Independent Living</v>
      </c>
      <c r="AH98" t="s">
        <v>955</v>
      </c>
    </row>
    <row r="99" spans="24:34" x14ac:dyDescent="0.25">
      <c r="X99" t="s">
        <v>237</v>
      </c>
      <c r="Y99" t="s">
        <v>236</v>
      </c>
      <c r="Z99" t="str">
        <f>FCs[[#This Row],[FC Description]]&amp;" "&amp;FCs[[#This Row],[FC ID]]</f>
        <v>Public SHPS - Physiotherapy 72 5 30 44 50</v>
      </c>
      <c r="AC99" t="s">
        <v>871</v>
      </c>
      <c r="AD99" s="25" t="s">
        <v>944</v>
      </c>
      <c r="AE99" s="25" t="s">
        <v>948</v>
      </c>
      <c r="AF99" t="s">
        <v>952</v>
      </c>
      <c r="AG99" t="str">
        <f>PROPER(Agencies[[#This Row],[HSP Name]])</f>
        <v>Oakville Senior Citizens Residence</v>
      </c>
      <c r="AH99" t="s">
        <v>956</v>
      </c>
    </row>
    <row r="100" spans="24:34" x14ac:dyDescent="0.25">
      <c r="X100" t="s">
        <v>239</v>
      </c>
      <c r="Y100" t="s">
        <v>238</v>
      </c>
      <c r="Z100" t="str">
        <f>FCs[[#This Row],[FC Description]]&amp;" "&amp;FCs[[#This Row],[FC ID]]</f>
        <v>Public SHPS - Occ. Therapy 72 5 30 44 55</v>
      </c>
      <c r="AC100" t="s">
        <v>871</v>
      </c>
      <c r="AD100" s="25" t="s">
        <v>945</v>
      </c>
      <c r="AE100" s="25" t="s">
        <v>949</v>
      </c>
      <c r="AF100" t="s">
        <v>953</v>
      </c>
      <c r="AG100" t="str">
        <f>PROPER(Agencies[[#This Row],[HSP Name]])</f>
        <v>Peel Addiction Assessment &amp; Referral Centre (Paarc)</v>
      </c>
      <c r="AH100" t="s">
        <v>957</v>
      </c>
    </row>
    <row r="101" spans="24:34" x14ac:dyDescent="0.25">
      <c r="X101" t="s">
        <v>241</v>
      </c>
      <c r="Y101" t="s">
        <v>240</v>
      </c>
      <c r="Z101" t="str">
        <f>FCs[[#This Row],[FC Description]]&amp;" "&amp;FCs[[#This Row],[FC ID]]</f>
        <v>Public SHPS - Speech Lang. Path. 72 5 30 44 62</v>
      </c>
      <c r="AC101" t="s">
        <v>871</v>
      </c>
      <c r="AD101" s="25" t="s">
        <v>946</v>
      </c>
      <c r="AE101" s="25" t="s">
        <v>950</v>
      </c>
      <c r="AF101" t="s">
        <v>954</v>
      </c>
      <c r="AG101" t="str">
        <f>PROPER(Agencies[[#This Row],[HSP Name]])</f>
        <v>Peel Cheshire Homes Inc</v>
      </c>
      <c r="AH101" t="s">
        <v>958</v>
      </c>
    </row>
    <row r="102" spans="24:34" x14ac:dyDescent="0.25">
      <c r="X102" t="s">
        <v>243</v>
      </c>
      <c r="Y102" t="s">
        <v>242</v>
      </c>
      <c r="Z102" t="str">
        <f>FCs[[#This Row],[FC Description]]&amp;" "&amp;FCs[[#This Row],[FC ID]]</f>
        <v>Onlcology Home Care 72 5 30 66</v>
      </c>
      <c r="AC102" t="s">
        <v>871</v>
      </c>
      <c r="AD102" s="25" t="s">
        <v>835</v>
      </c>
      <c r="AE102" s="25" t="s">
        <v>842</v>
      </c>
      <c r="AF102" t="s">
        <v>849</v>
      </c>
      <c r="AG102" t="str">
        <f>PROPER(Agencies[[#This Row],[HSP Name]])</f>
        <v>Peel Senior Link</v>
      </c>
      <c r="AH102" t="s">
        <v>959</v>
      </c>
    </row>
    <row r="103" spans="24:34" x14ac:dyDescent="0.25">
      <c r="X103" t="s">
        <v>245</v>
      </c>
      <c r="Y103" t="s">
        <v>244</v>
      </c>
      <c r="Z103" t="str">
        <f>FCs[[#This Row],[FC Description]]&amp;" "&amp;FCs[[#This Row],[FC ID]]</f>
        <v>MH Home Care - Psychiatric Follow-Up 72 5 30 76 10</v>
      </c>
      <c r="AC103" t="s">
        <v>871</v>
      </c>
      <c r="AD103" s="25" t="s">
        <v>960</v>
      </c>
      <c r="AE103" s="25" t="s">
        <v>962</v>
      </c>
      <c r="AF103" t="s">
        <v>964</v>
      </c>
      <c r="AG103" t="str">
        <f>PROPER(Agencies[[#This Row],[HSP Name]])</f>
        <v>Regional Municipality Of Halton</v>
      </c>
      <c r="AH103" t="s">
        <v>966</v>
      </c>
    </row>
    <row r="104" spans="24:34" x14ac:dyDescent="0.25">
      <c r="X104" t="s">
        <v>247</v>
      </c>
      <c r="Y104" t="s">
        <v>246</v>
      </c>
      <c r="Z104" t="str">
        <f>FCs[[#This Row],[FC Description]]&amp;" "&amp;FCs[[#This Row],[FC ID]]</f>
        <v>MH Home Care - Psychiatric Acute 72 5 30 76 25</v>
      </c>
      <c r="AC104" t="s">
        <v>871</v>
      </c>
      <c r="AD104" s="25" t="s">
        <v>961</v>
      </c>
      <c r="AE104" s="25" t="s">
        <v>963</v>
      </c>
      <c r="AF104" t="s">
        <v>965</v>
      </c>
      <c r="AG104" t="str">
        <f>PROPER(Agencies[[#This Row],[HSP Name]])</f>
        <v>Seniors Life Enhancement Centres</v>
      </c>
      <c r="AH104" t="s">
        <v>967</v>
      </c>
    </row>
    <row r="105" spans="24:34" x14ac:dyDescent="0.25">
      <c r="X105" t="s">
        <v>249</v>
      </c>
      <c r="Y105" t="s">
        <v>248</v>
      </c>
      <c r="Z105" t="str">
        <f>FCs[[#This Row],[FC Description]]&amp;" "&amp;FCs[[#This Row],[FC ID]]</f>
        <v>MH Home Care - Child/Adolescent 72 5 30 76 50</v>
      </c>
      <c r="AC105" t="s">
        <v>871</v>
      </c>
      <c r="AD105" s="25" t="s">
        <v>968</v>
      </c>
      <c r="AE105" s="25" t="s">
        <v>974</v>
      </c>
      <c r="AF105" t="s">
        <v>980</v>
      </c>
      <c r="AG105" t="str">
        <f>PROPER(Agencies[[#This Row],[HSP Name]])</f>
        <v>Summit Housing &amp; Outreach Programs</v>
      </c>
      <c r="AH105" t="s">
        <v>986</v>
      </c>
    </row>
    <row r="106" spans="24:34" x14ac:dyDescent="0.25">
      <c r="X106" t="s">
        <v>251</v>
      </c>
      <c r="Y106" t="s">
        <v>250</v>
      </c>
      <c r="Z106" t="str">
        <f>FCs[[#This Row],[FC Description]]&amp;" "&amp;FCs[[#This Row],[FC ID]]</f>
        <v>MH Home Care - Forensic Psychiatry 72 5 30 76 55</v>
      </c>
      <c r="AC106" t="s">
        <v>871</v>
      </c>
      <c r="AD106" s="25" t="s">
        <v>969</v>
      </c>
      <c r="AE106" s="25" t="s">
        <v>975</v>
      </c>
      <c r="AF106" t="s">
        <v>981</v>
      </c>
      <c r="AG106" t="str">
        <f>PROPER(Agencies[[#This Row],[HSP Name]])</f>
        <v>Support &amp; Housing - Halton</v>
      </c>
      <c r="AH106" t="s">
        <v>987</v>
      </c>
    </row>
    <row r="107" spans="24:34" x14ac:dyDescent="0.25">
      <c r="X107" t="s">
        <v>253</v>
      </c>
      <c r="Y107" t="s">
        <v>252</v>
      </c>
      <c r="Z107" t="str">
        <f>FCs[[#This Row],[FC Description]]&amp;" "&amp;FCs[[#This Row],[FC ID]]</f>
        <v>MH Home Care - Psychiatric Rehab 72 5 30 76 81</v>
      </c>
      <c r="AC107" t="s">
        <v>871</v>
      </c>
      <c r="AD107" s="25" t="s">
        <v>970</v>
      </c>
      <c r="AE107" s="25" t="s">
        <v>976</v>
      </c>
      <c r="AF107" t="s">
        <v>982</v>
      </c>
      <c r="AG107" t="str">
        <f>PROPER(Agencies[[#This Row],[HSP Name]])</f>
        <v>Supported Training &amp; Rehabilitation In Diverse Environments (Stride)</v>
      </c>
      <c r="AH107" t="s">
        <v>988</v>
      </c>
    </row>
    <row r="108" spans="24:34" x14ac:dyDescent="0.25">
      <c r="X108" t="s">
        <v>255</v>
      </c>
      <c r="Y108" t="s">
        <v>254</v>
      </c>
      <c r="Z108" t="str">
        <f>FCs[[#This Row],[FC Description]]&amp;" "&amp;FCs[[#This Row],[FC ID]]</f>
        <v>MH Home Care - Psychiatric Crisis 72 5 30 76 90</v>
      </c>
      <c r="AC108" t="s">
        <v>871</v>
      </c>
      <c r="AD108" s="25" t="s">
        <v>971</v>
      </c>
      <c r="AE108" s="25" t="s">
        <v>977</v>
      </c>
      <c r="AF108" t="s">
        <v>983</v>
      </c>
      <c r="AG108" t="str">
        <f>PROPER(Agencies[[#This Row],[HSP Name]])</f>
        <v>The Arthritis Society</v>
      </c>
      <c r="AH108" t="s">
        <v>989</v>
      </c>
    </row>
    <row r="109" spans="24:34" x14ac:dyDescent="0.25">
      <c r="X109" t="s">
        <v>257</v>
      </c>
      <c r="Y109" t="s">
        <v>256</v>
      </c>
      <c r="Z109" t="str">
        <f>FCs[[#This Row],[FC Description]]&amp;" "&amp;FCs[[#This Row],[FC ID]]</f>
        <v>MH Home Care - Longer Term 72 5 30 76 95</v>
      </c>
      <c r="AC109" t="s">
        <v>871</v>
      </c>
      <c r="AD109" s="25" t="s">
        <v>972</v>
      </c>
      <c r="AE109" s="25" t="s">
        <v>978</v>
      </c>
      <c r="AF109" t="s">
        <v>984</v>
      </c>
      <c r="AG109" t="str">
        <f>PROPER(Agencies[[#This Row],[HSP Name]])</f>
        <v>Town Of Halton Hills</v>
      </c>
      <c r="AH109" t="s">
        <v>990</v>
      </c>
    </row>
    <row r="110" spans="24:34" x14ac:dyDescent="0.25">
      <c r="X110" t="s">
        <v>259</v>
      </c>
      <c r="Y110" t="s">
        <v>258</v>
      </c>
      <c r="Z110" t="str">
        <f>FCs[[#This Row],[FC Description]]&amp;" "&amp;FCs[[#This Row],[FC ID]]</f>
        <v>MH Home Care - Geriatric Psych. Assess. 72 5 30 76 96</v>
      </c>
      <c r="AC110" t="s">
        <v>871</v>
      </c>
      <c r="AD110" s="25" t="s">
        <v>973</v>
      </c>
      <c r="AE110" s="25" t="s">
        <v>979</v>
      </c>
      <c r="AF110" t="s">
        <v>985</v>
      </c>
      <c r="AG110" t="str">
        <f>PROPER(Agencies[[#This Row],[HSP Name]])</f>
        <v>Trillium Health Partners</v>
      </c>
      <c r="AH110" t="s">
        <v>991</v>
      </c>
    </row>
    <row r="111" spans="24:34" x14ac:dyDescent="0.25">
      <c r="X111" t="s">
        <v>261</v>
      </c>
      <c r="Y111" t="s">
        <v>260</v>
      </c>
      <c r="Z111" t="str">
        <f>FCs[[#This Row],[FC Description]]&amp;" "&amp;FCs[[#This Row],[FC ID]]</f>
        <v>Addictions Home Care - Addictions 72 5 30 78 10</v>
      </c>
      <c r="AC111" t="s">
        <v>871</v>
      </c>
      <c r="AD111" s="25" t="s">
        <v>992</v>
      </c>
      <c r="AE111" s="25" t="s">
        <v>575</v>
      </c>
      <c r="AF111" t="s">
        <v>993</v>
      </c>
      <c r="AG111" t="str">
        <f>PROPER(Agencies[[#This Row],[HSP Name]])</f>
        <v>Victorian Order Of Nurses For Canada - Ontario Branch</v>
      </c>
      <c r="AH111" t="s">
        <v>585</v>
      </c>
    </row>
    <row r="112" spans="24:34" x14ac:dyDescent="0.25">
      <c r="X112" t="s">
        <v>263</v>
      </c>
      <c r="Y112" t="s">
        <v>262</v>
      </c>
      <c r="Z112" t="str">
        <f>FCs[[#This Row],[FC Description]]&amp;" "&amp;FCs[[#This Row],[FC ID]]</f>
        <v>Home Care - Community Paramedicine 72 5 30 80 05</v>
      </c>
      <c r="AC112" t="s">
        <v>871</v>
      </c>
      <c r="AD112" s="25" t="s">
        <v>994</v>
      </c>
      <c r="AE112" s="25" t="s">
        <v>576</v>
      </c>
      <c r="AF112" t="s">
        <v>995</v>
      </c>
      <c r="AG112" t="str">
        <f>PROPER(Agencies[[#This Row],[HSP Name]])</f>
        <v>Vision Loss Rehabilitation Canada</v>
      </c>
      <c r="AH112" t="s">
        <v>996</v>
      </c>
    </row>
    <row r="113" spans="24:34" x14ac:dyDescent="0.25">
      <c r="X113" t="s">
        <v>265</v>
      </c>
      <c r="Y113" t="s">
        <v>264</v>
      </c>
      <c r="Z113" t="str">
        <f>FCs[[#This Row],[FC Description]]&amp;" "&amp;FCs[[#This Row],[FC ID]]</f>
        <v>Dialysis Home Care 72 5 30 86</v>
      </c>
      <c r="AC113" t="s">
        <v>871</v>
      </c>
      <c r="AD113" s="25">
        <v>4587</v>
      </c>
      <c r="AE113" s="25" t="s">
        <v>764</v>
      </c>
      <c r="AF113" t="s">
        <v>997</v>
      </c>
      <c r="AG113" t="str">
        <f>PROPER(Agencies[[#This Row],[HSP Name]])</f>
        <v>Yee Hong Centre For Geriatric Care - Mississauga</v>
      </c>
      <c r="AH113" t="s">
        <v>998</v>
      </c>
    </row>
    <row r="114" spans="24:34" x14ac:dyDescent="0.25">
      <c r="X114" t="s">
        <v>267</v>
      </c>
      <c r="Y114" t="s">
        <v>266</v>
      </c>
      <c r="Z114" t="str">
        <f>FCs[[#This Row],[FC Description]]&amp;" "&amp;FCs[[#This Row],[FC ID]]</f>
        <v>Palliative Home Care 72 5 30 94</v>
      </c>
      <c r="AC114" t="s">
        <v>466</v>
      </c>
      <c r="AD114" s="25">
        <v>4242</v>
      </c>
      <c r="AE114" s="25" t="s">
        <v>467</v>
      </c>
      <c r="AF114" t="s">
        <v>471</v>
      </c>
      <c r="AG114" t="str">
        <f>PROPER(Agencies[[#This Row],[HSP Name]])</f>
        <v>Alzheimer Society Of Muskoka</v>
      </c>
      <c r="AH114" t="s">
        <v>475</v>
      </c>
    </row>
    <row r="115" spans="24:34" x14ac:dyDescent="0.25">
      <c r="X115" t="s">
        <v>269</v>
      </c>
      <c r="Y115" t="s">
        <v>268</v>
      </c>
      <c r="Z115" t="str">
        <f>FCs[[#This Row],[FC Description]]&amp;" "&amp;FCs[[#This Row],[FC ID]]</f>
        <v>In-Home Support - Personal Support 72 5 35 40 10</v>
      </c>
      <c r="AC115" t="s">
        <v>466</v>
      </c>
      <c r="AD115" s="25">
        <v>4213</v>
      </c>
      <c r="AE115" s="25" t="s">
        <v>468</v>
      </c>
      <c r="AF115" t="s">
        <v>472</v>
      </c>
      <c r="AG115" t="str">
        <f>PROPER(Agencies[[#This Row],[HSP Name]])</f>
        <v>Alzheimer Society Of Simcoe County</v>
      </c>
      <c r="AH115" t="s">
        <v>476</v>
      </c>
    </row>
    <row r="116" spans="24:34" x14ac:dyDescent="0.25">
      <c r="X116" t="s">
        <v>271</v>
      </c>
      <c r="Y116" t="s">
        <v>270</v>
      </c>
      <c r="Z116" t="str">
        <f>FCs[[#This Row],[FC Description]]&amp;" "&amp;FCs[[#This Row],[FC ID]]</f>
        <v>In-Home Support - Homemaking Services 72 5 35 40 20</v>
      </c>
      <c r="AC116" t="s">
        <v>466</v>
      </c>
      <c r="AD116" s="25">
        <v>4256</v>
      </c>
      <c r="AE116" s="25" t="s">
        <v>469</v>
      </c>
      <c r="AF116" t="s">
        <v>473</v>
      </c>
      <c r="AG116" t="str">
        <f>PROPER(Agencies[[#This Row],[HSP Name]])</f>
        <v>Barrie Area Native Advisory Circle</v>
      </c>
      <c r="AH116" t="s">
        <v>477</v>
      </c>
    </row>
    <row r="117" spans="24:34" x14ac:dyDescent="0.25">
      <c r="X117" t="s">
        <v>273</v>
      </c>
      <c r="Y117" t="s">
        <v>272</v>
      </c>
      <c r="Z117" t="str">
        <f>FCs[[#This Row],[FC Description]]&amp;" "&amp;FCs[[#This Row],[FC ID]]</f>
        <v>In-Home Support - Comb. PS and HM Services 72 5 35 40 30</v>
      </c>
      <c r="AC117" t="s">
        <v>466</v>
      </c>
      <c r="AD117" s="25">
        <v>8039</v>
      </c>
      <c r="AE117" s="25" t="s">
        <v>470</v>
      </c>
      <c r="AF117" t="s">
        <v>474</v>
      </c>
      <c r="AG117" t="str">
        <f>PROPER(Agencies[[#This Row],[HSP Name]])</f>
        <v>Barrie Community Health Centre</v>
      </c>
      <c r="AH117" t="s">
        <v>478</v>
      </c>
    </row>
    <row r="118" spans="24:34" x14ac:dyDescent="0.25">
      <c r="X118" t="s">
        <v>275</v>
      </c>
      <c r="Y118" t="s">
        <v>274</v>
      </c>
      <c r="Z118" t="str">
        <f>FCs[[#This Row],[FC Description]]&amp;" "&amp;FCs[[#This Row],[FC ID]]</f>
        <v>School Health Personal Support Services (SHPSS) 72 5 35 42 10</v>
      </c>
      <c r="AC118" t="s">
        <v>466</v>
      </c>
      <c r="AD118" s="25">
        <v>4211</v>
      </c>
      <c r="AE118" s="25" t="s">
        <v>479</v>
      </c>
      <c r="AF118" t="s">
        <v>488</v>
      </c>
      <c r="AG118" t="str">
        <f>PROPER(Agencies[[#This Row],[HSP Name]])</f>
        <v>Beausoleil First Nation</v>
      </c>
      <c r="AH118" t="s">
        <v>497</v>
      </c>
    </row>
    <row r="119" spans="24:34" x14ac:dyDescent="0.25">
      <c r="X119" t="s">
        <v>277</v>
      </c>
      <c r="Y119" t="s">
        <v>276</v>
      </c>
      <c r="Z119" t="str">
        <f>FCs[[#This Row],[FC Description]]&amp;" "&amp;FCs[[#This Row],[FC ID]]</f>
        <v>Respite Service 72 5 35 45</v>
      </c>
      <c r="AC119" t="s">
        <v>466</v>
      </c>
      <c r="AD119" s="25">
        <v>4262</v>
      </c>
      <c r="AE119" s="25" t="s">
        <v>480</v>
      </c>
      <c r="AF119" t="s">
        <v>489</v>
      </c>
      <c r="AG119" t="str">
        <f>PROPER(Agencies[[#This Row],[HSP Name]])</f>
        <v>Brain Injury Services Of Simcoe County Inc.</v>
      </c>
      <c r="AH119" t="s">
        <v>498</v>
      </c>
    </row>
    <row r="120" spans="24:34" x14ac:dyDescent="0.25">
      <c r="X120" t="s">
        <v>279</v>
      </c>
      <c r="Y120" t="s">
        <v>278</v>
      </c>
      <c r="Z120" t="str">
        <f>FCs[[#This Row],[FC Description]]&amp;" "&amp;FCs[[#This Row],[FC ID]]</f>
        <v>COM – Residential Addiction - Substance Abuse – Rent Supplement Program 72 5 40 75 50</v>
      </c>
      <c r="AC120" t="s">
        <v>466</v>
      </c>
      <c r="AD120" s="25">
        <v>4009</v>
      </c>
      <c r="AE120" s="25" t="s">
        <v>481</v>
      </c>
      <c r="AF120" t="s">
        <v>490</v>
      </c>
      <c r="AG120" t="str">
        <f>PROPER(Agencies[[#This Row],[HSP Name]])</f>
        <v>Breaking Down Barriers - An Independent Living Centre Inc.</v>
      </c>
      <c r="AH120" t="s">
        <v>499</v>
      </c>
    </row>
    <row r="121" spans="24:34" x14ac:dyDescent="0.25">
      <c r="X121" t="s">
        <v>281</v>
      </c>
      <c r="Y121" t="s">
        <v>280</v>
      </c>
      <c r="Z121" t="str">
        <f>FCs[[#This Row],[FC Description]]&amp;" "&amp;FCs[[#This Row],[FC ID]]</f>
        <v>Res. Mental Health - Homes for Special Care 72 5 40 76 10</v>
      </c>
      <c r="AC121" t="s">
        <v>466</v>
      </c>
      <c r="AD121" s="25">
        <v>390</v>
      </c>
      <c r="AE121" s="25" t="s">
        <v>482</v>
      </c>
      <c r="AF121" t="s">
        <v>491</v>
      </c>
      <c r="AG121" t="str">
        <f>PROPER(Agencies[[#This Row],[HSP Name]])</f>
        <v>Canadian Mental Health Association, Muskoka-Parry Sound Branch</v>
      </c>
      <c r="AH121" t="s">
        <v>500</v>
      </c>
    </row>
    <row r="122" spans="24:34" x14ac:dyDescent="0.25">
      <c r="X122" t="s">
        <v>283</v>
      </c>
      <c r="Y122" t="s">
        <v>282</v>
      </c>
      <c r="Z122" t="str">
        <f>FCs[[#This Row],[FC Description]]&amp;" "&amp;FCs[[#This Row],[FC ID]]</f>
        <v>Res. Mental Health - Support within Housing 72 5 40 76 30</v>
      </c>
      <c r="AC122" t="s">
        <v>466</v>
      </c>
      <c r="AD122" s="25">
        <v>396</v>
      </c>
      <c r="AE122" s="25" t="s">
        <v>483</v>
      </c>
      <c r="AF122" t="s">
        <v>492</v>
      </c>
      <c r="AG122" t="str">
        <f>PROPER(Agencies[[#This Row],[HSP Name]])</f>
        <v>Canadian Mental Health Association, Simcoe County Branch</v>
      </c>
      <c r="AH122" t="s">
        <v>501</v>
      </c>
    </row>
    <row r="123" spans="24:34" x14ac:dyDescent="0.25">
      <c r="X123" t="s">
        <v>285</v>
      </c>
      <c r="Y123" t="s">
        <v>284</v>
      </c>
      <c r="Z123" t="str">
        <f>FCs[[#This Row],[FC Description]]&amp;" "&amp;FCs[[#This Row],[FC ID]]</f>
        <v>Res. Mental Health - Housing Bricks &amp; Mortar 72 5 40 76 40</v>
      </c>
      <c r="AC123" t="s">
        <v>466</v>
      </c>
      <c r="AD123" s="25">
        <v>4367</v>
      </c>
      <c r="AE123" s="25" t="s">
        <v>484</v>
      </c>
      <c r="AF123" t="s">
        <v>493</v>
      </c>
      <c r="AG123" t="str">
        <f>PROPER(Agencies[[#This Row],[HSP Name]])</f>
        <v>Canadian Red Cross Society</v>
      </c>
      <c r="AH123" t="s">
        <v>502</v>
      </c>
    </row>
    <row r="124" spans="24:34" x14ac:dyDescent="0.25">
      <c r="X124" t="s">
        <v>287</v>
      </c>
      <c r="Y124" t="s">
        <v>286</v>
      </c>
      <c r="Z124" t="str">
        <f>FCs[[#This Row],[FC Description]]&amp;" "&amp;FCs[[#This Row],[FC ID]]</f>
        <v>Res. Mental Health - Rent Supplement Program 72 5 40 76 50</v>
      </c>
      <c r="AC124" t="s">
        <v>466</v>
      </c>
      <c r="AD124" s="25">
        <v>8014</v>
      </c>
      <c r="AE124" s="25" t="s">
        <v>485</v>
      </c>
      <c r="AF124" t="s">
        <v>494</v>
      </c>
      <c r="AG124" t="str">
        <f>PROPER(Agencies[[#This Row],[HSP Name]])</f>
        <v>Centre De Santé Communautaire Chigamik Community Health Centre Inc.</v>
      </c>
      <c r="AH124" t="s">
        <v>503</v>
      </c>
    </row>
    <row r="125" spans="24:34" x14ac:dyDescent="0.25">
      <c r="X125" t="s">
        <v>289</v>
      </c>
      <c r="Y125" t="s">
        <v>288</v>
      </c>
      <c r="Z125" t="str">
        <f>FCs[[#This Row],[FC Description]]&amp;" "&amp;FCs[[#This Row],[FC ID]]</f>
        <v>Res. Mental Health - Short Term Crisis Support Beds 72 5 40 76 60</v>
      </c>
      <c r="AC125" t="s">
        <v>466</v>
      </c>
      <c r="AD125" s="25">
        <v>4271</v>
      </c>
      <c r="AE125" s="25" t="s">
        <v>486</v>
      </c>
      <c r="AF125" t="s">
        <v>495</v>
      </c>
      <c r="AG125" t="str">
        <f>PROPER(Agencies[[#This Row],[HSP Name]])</f>
        <v>Chippewas Of Rama First Nation</v>
      </c>
      <c r="AH125" t="s">
        <v>504</v>
      </c>
    </row>
    <row r="126" spans="24:34" x14ac:dyDescent="0.25">
      <c r="X126" t="s">
        <v>291</v>
      </c>
      <c r="Y126" t="s">
        <v>290</v>
      </c>
      <c r="Z126" t="str">
        <f>FCs[[#This Row],[FC Description]]&amp;" "&amp;FCs[[#This Row],[FC ID]]</f>
        <v>COM Residential Addiction - Treatment Services-Substance Abuse 72 5 40 78 11</v>
      </c>
      <c r="AC126" t="s">
        <v>466</v>
      </c>
      <c r="AD126" s="25">
        <v>640</v>
      </c>
      <c r="AE126" s="25" t="s">
        <v>487</v>
      </c>
      <c r="AF126" t="s">
        <v>496</v>
      </c>
      <c r="AG126" t="str">
        <f>PROPER(Agencies[[#This Row],[HSP Name]])</f>
        <v>Collingwood General And Marine Hospital</v>
      </c>
      <c r="AH126" t="s">
        <v>505</v>
      </c>
    </row>
    <row r="127" spans="24:34" x14ac:dyDescent="0.25">
      <c r="X127" t="s">
        <v>293</v>
      </c>
      <c r="Y127" t="s">
        <v>292</v>
      </c>
      <c r="Z127" t="str">
        <f>FCs[[#This Row],[FC Description]]&amp;" "&amp;FCs[[#This Row],[FC ID]]</f>
        <v>COM Residential Addiction - Treatment Services-Problem Gambling 72 5 40 78 12</v>
      </c>
      <c r="AC127" t="s">
        <v>466</v>
      </c>
      <c r="AD127" s="25">
        <v>4283</v>
      </c>
      <c r="AE127" s="25" t="s">
        <v>506</v>
      </c>
      <c r="AF127" t="s">
        <v>508</v>
      </c>
      <c r="AG127" t="str">
        <f>PROPER(Agencies[[#This Row],[HSP Name]])</f>
        <v>Deaf Access Simcoe-Muskoka Inc.</v>
      </c>
      <c r="AH127" t="s">
        <v>510</v>
      </c>
    </row>
    <row r="128" spans="24:34" x14ac:dyDescent="0.25">
      <c r="X128" t="s">
        <v>295</v>
      </c>
      <c r="Y128" t="s">
        <v>294</v>
      </c>
      <c r="Z128" t="str">
        <f>FCs[[#This Row],[FC Description]]&amp;" "&amp;FCs[[#This Row],[FC ID]]</f>
        <v>COM Residential Addiction - Supportive Treatment 72 5 40 78 30</v>
      </c>
      <c r="AC128" t="s">
        <v>466</v>
      </c>
      <c r="AD128" s="25">
        <v>509</v>
      </c>
      <c r="AE128" s="25" t="s">
        <v>507</v>
      </c>
      <c r="AF128" t="s">
        <v>509</v>
      </c>
      <c r="AG128" t="str">
        <f>PROPER(Agencies[[#This Row],[HSP Name]])</f>
        <v>Enaahtig Healing Lodge And Learning Centre</v>
      </c>
      <c r="AH128" t="s">
        <v>511</v>
      </c>
    </row>
    <row r="129" spans="24:34" x14ac:dyDescent="0.25">
      <c r="X129" t="s">
        <v>297</v>
      </c>
      <c r="Y129" t="s">
        <v>296</v>
      </c>
      <c r="Z129" t="str">
        <f>FCs[[#This Row],[FC Description]]&amp;" "&amp;FCs[[#This Row],[FC ID]]</f>
        <v>COM Residential Addictions - Housing Bricks &amp; Mortar 72 5 40 78 40</v>
      </c>
      <c r="AC129" t="s">
        <v>466</v>
      </c>
      <c r="AD129" s="25">
        <v>4293</v>
      </c>
      <c r="AE129" s="25" t="s">
        <v>512</v>
      </c>
      <c r="AF129" t="s">
        <v>515</v>
      </c>
      <c r="AG129" t="str">
        <f>PROPER(Agencies[[#This Row],[HSP Name]])</f>
        <v>Gravenhurst Senior Citizens Club Inc.</v>
      </c>
      <c r="AH129" t="s">
        <v>518</v>
      </c>
    </row>
    <row r="130" spans="24:34" x14ac:dyDescent="0.25">
      <c r="X130" t="s">
        <v>299</v>
      </c>
      <c r="Y130" t="s">
        <v>298</v>
      </c>
      <c r="Z130" t="str">
        <f>FCs[[#This Row],[FC Description]]&amp;" "&amp;FCs[[#This Row],[FC ID]]</f>
        <v>COM Residential Addiction - Withdrawal Management Centres 72 5 40 78 45</v>
      </c>
      <c r="AC130" t="s">
        <v>466</v>
      </c>
      <c r="AD130" s="25">
        <v>4294</v>
      </c>
      <c r="AE130" s="25" t="s">
        <v>513</v>
      </c>
      <c r="AF130" t="s">
        <v>516</v>
      </c>
      <c r="AG130" t="str">
        <f>PROPER(Agencies[[#This Row],[HSP Name]])</f>
        <v xml:space="preserve">Grove Park Home For Senior Citizens </v>
      </c>
      <c r="AH130" t="s">
        <v>519</v>
      </c>
    </row>
    <row r="131" spans="24:34" x14ac:dyDescent="0.25">
      <c r="X131" t="s">
        <v>301</v>
      </c>
      <c r="Y131" t="s">
        <v>300</v>
      </c>
      <c r="Z131" t="str">
        <f>FCs[[#This Row],[FC Description]]&amp;" "&amp;FCs[[#This Row],[FC ID]]</f>
        <v>Residential Hospice - EOL-Nursing Visiting 72 5 40 95 11</v>
      </c>
      <c r="AC131" t="s">
        <v>466</v>
      </c>
      <c r="AD131" s="25">
        <v>4024</v>
      </c>
      <c r="AE131" s="25" t="s">
        <v>514</v>
      </c>
      <c r="AF131" t="s">
        <v>517</v>
      </c>
      <c r="AG131" t="str">
        <f>PROPER(Agencies[[#This Row],[HSP Name]])</f>
        <v>Helping Hands, Orillia</v>
      </c>
      <c r="AH131" t="s">
        <v>520</v>
      </c>
    </row>
    <row r="132" spans="24:34" x14ac:dyDescent="0.25">
      <c r="X132" t="s">
        <v>303</v>
      </c>
      <c r="Y132" t="s">
        <v>302</v>
      </c>
      <c r="Z132" t="str">
        <f>FCs[[#This Row],[FC Description]]&amp;" "&amp;FCs[[#This Row],[FC ID]]</f>
        <v>Residential Hospice - EOL-Nursing Shift 72 5 40 95 12</v>
      </c>
      <c r="AC132" t="s">
        <v>466</v>
      </c>
      <c r="AD132" s="25">
        <v>4301</v>
      </c>
      <c r="AE132" s="25" t="s">
        <v>521</v>
      </c>
      <c r="AF132" t="s">
        <v>524</v>
      </c>
      <c r="AG132" t="str">
        <f>PROPER(Agencies[[#This Row],[HSP Name]])</f>
        <v>Hospice Georgian Triangle</v>
      </c>
      <c r="AH132" t="s">
        <v>527</v>
      </c>
    </row>
    <row r="133" spans="24:34" x14ac:dyDescent="0.25">
      <c r="X133" t="s">
        <v>305</v>
      </c>
      <c r="Y133" t="s">
        <v>304</v>
      </c>
      <c r="Z133" t="str">
        <f>FCs[[#This Row],[FC Description]]&amp;" "&amp;FCs[[#This Row],[FC ID]]</f>
        <v>Residential Hospice - EOL-Combined PS and HM Services 72 5 40 95 30</v>
      </c>
      <c r="AC133" t="s">
        <v>466</v>
      </c>
      <c r="AD133" s="25">
        <v>4027</v>
      </c>
      <c r="AE133" s="25" t="s">
        <v>522</v>
      </c>
      <c r="AF133" t="s">
        <v>525</v>
      </c>
      <c r="AG133" t="str">
        <f>PROPER(Agencies[[#This Row],[HSP Name]])</f>
        <v>Hospice Huronia</v>
      </c>
      <c r="AH133" t="s">
        <v>528</v>
      </c>
    </row>
    <row r="134" spans="24:34" x14ac:dyDescent="0.25">
      <c r="X134" t="s">
        <v>307</v>
      </c>
      <c r="Y134" t="s">
        <v>306</v>
      </c>
      <c r="Z134" t="str">
        <f>FCs[[#This Row],[FC Description]]&amp;" "&amp;FCs[[#This Row],[FC ID]]</f>
        <v>Residential Hospice - EOL-Nutrition/Dietetic 72 5 40 95 45</v>
      </c>
      <c r="AC134" t="s">
        <v>466</v>
      </c>
      <c r="AD134" s="25">
        <v>4308</v>
      </c>
      <c r="AE134" s="25" t="s">
        <v>523</v>
      </c>
      <c r="AF134" t="s">
        <v>526</v>
      </c>
      <c r="AG134" t="str">
        <f>PROPER(Agencies[[#This Row],[HSP Name]])</f>
        <v>Hospice Simcoe</v>
      </c>
      <c r="AH134" t="s">
        <v>529</v>
      </c>
    </row>
    <row r="135" spans="24:34" x14ac:dyDescent="0.25">
      <c r="X135" t="s">
        <v>309</v>
      </c>
      <c r="Y135" t="s">
        <v>308</v>
      </c>
      <c r="Z135" t="str">
        <f>FCs[[#This Row],[FC Description]]&amp;" "&amp;FCs[[#This Row],[FC ID]]</f>
        <v>Residential Hospice - EOL-Physiotherapy 72 5 40 95 50</v>
      </c>
      <c r="AC135" t="s">
        <v>466</v>
      </c>
      <c r="AD135" s="25">
        <v>4489</v>
      </c>
      <c r="AE135" s="25" t="s">
        <v>530</v>
      </c>
      <c r="AF135" t="s">
        <v>534</v>
      </c>
      <c r="AG135" t="str">
        <f>PROPER(Agencies[[#This Row],[HSP Name]])</f>
        <v>Huntsville Meals On Wheels Inc.</v>
      </c>
      <c r="AH135" t="s">
        <v>538</v>
      </c>
    </row>
    <row r="136" spans="24:34" x14ac:dyDescent="0.25">
      <c r="X136" t="s">
        <v>311</v>
      </c>
      <c r="Y136" t="s">
        <v>310</v>
      </c>
      <c r="Z136" t="str">
        <f>FCs[[#This Row],[FC Description]]&amp;" "&amp;FCs[[#This Row],[FC ID]]</f>
        <v>Residential Hospice - EOL-Occupational Therapy 72 5 40 95 55</v>
      </c>
      <c r="AC136" t="s">
        <v>466</v>
      </c>
      <c r="AD136" s="25">
        <v>381</v>
      </c>
      <c r="AE136" s="25" t="s">
        <v>531</v>
      </c>
      <c r="AF136" t="s">
        <v>535</v>
      </c>
      <c r="AG136" t="str">
        <f>PROPER(Agencies[[#This Row],[HSP Name]])</f>
        <v>Huronia Transition Homes</v>
      </c>
      <c r="AH136" t="s">
        <v>539</v>
      </c>
    </row>
    <row r="137" spans="24:34" x14ac:dyDescent="0.25">
      <c r="X137" t="s">
        <v>313</v>
      </c>
      <c r="Y137" t="s">
        <v>312</v>
      </c>
      <c r="Z137" t="str">
        <f>FCs[[#This Row],[FC Description]]&amp;" "&amp;FCs[[#This Row],[FC ID]]</f>
        <v>Residential Hospice - EOL-Speech Language Pathology 72 5 40 95 62</v>
      </c>
      <c r="AC137" t="s">
        <v>466</v>
      </c>
      <c r="AD137" s="25">
        <v>4179</v>
      </c>
      <c r="AE137" s="25" t="s">
        <v>532</v>
      </c>
      <c r="AF137" t="s">
        <v>536</v>
      </c>
      <c r="AG137" t="str">
        <f>PROPER(Agencies[[#This Row],[HSP Name]])</f>
        <v>Independent Living Services Simcoe County</v>
      </c>
      <c r="AH137" t="s">
        <v>540</v>
      </c>
    </row>
    <row r="138" spans="24:34" x14ac:dyDescent="0.25">
      <c r="X138" t="s">
        <v>315</v>
      </c>
      <c r="Y138" t="s">
        <v>314</v>
      </c>
      <c r="Z138" t="str">
        <f>FCs[[#This Row],[FC Description]]&amp;" "&amp;FCs[[#This Row],[FC ID]]</f>
        <v>Residential Hospice - EOL-Social Work 72 5 40 95 70</v>
      </c>
      <c r="AC138" t="s">
        <v>466</v>
      </c>
      <c r="AD138" s="25">
        <v>4135</v>
      </c>
      <c r="AE138" s="25" t="s">
        <v>533</v>
      </c>
      <c r="AF138" t="s">
        <v>537</v>
      </c>
      <c r="AG138" t="str">
        <f>PROPER(Agencies[[#This Row],[HSP Name]])</f>
        <v>Ioof Senior Citizen Homes Inc.</v>
      </c>
      <c r="AH138" t="s">
        <v>541</v>
      </c>
    </row>
    <row r="139" spans="24:34" x14ac:dyDescent="0.25">
      <c r="X139" t="s">
        <v>317</v>
      </c>
      <c r="Y139" t="s">
        <v>316</v>
      </c>
      <c r="Z139" t="str">
        <f>FCs[[#This Row],[FC Description]]&amp;" "&amp;FCs[[#This Row],[FC ID]]</f>
        <v>Health Prom/Educ &amp; Dev - General 72 5 50 10</v>
      </c>
      <c r="AC139" t="s">
        <v>466</v>
      </c>
      <c r="AD139" s="25">
        <v>323</v>
      </c>
      <c r="AE139" s="25" t="s">
        <v>542</v>
      </c>
      <c r="AF139" t="s">
        <v>544</v>
      </c>
      <c r="AG139" t="str">
        <f>PROPER(Agencies[[#This Row],[HSP Name]])</f>
        <v>Loft Community Services</v>
      </c>
      <c r="AH139" t="s">
        <v>546</v>
      </c>
    </row>
    <row r="140" spans="24:34" x14ac:dyDescent="0.25">
      <c r="X140" t="s">
        <v>319</v>
      </c>
      <c r="Y140" t="s">
        <v>318</v>
      </c>
      <c r="Z140" t="str">
        <f>FCs[[#This Row],[FC Description]]&amp;" "&amp;FCs[[#This Row],[FC ID]]</f>
        <v>Health Prom/Educ.&amp; Com. Dev. – Health Promotion &amp; Community Development 72 5 50 12</v>
      </c>
      <c r="AC140" t="s">
        <v>466</v>
      </c>
      <c r="AD140" s="25">
        <v>8066</v>
      </c>
      <c r="AE140" s="25" t="s">
        <v>543</v>
      </c>
      <c r="AF140" t="s">
        <v>545</v>
      </c>
      <c r="AG140" t="str">
        <f>PROPER(Agencies[[#This Row],[HSP Name]])</f>
        <v>March Of Dimes Canada</v>
      </c>
      <c r="AH140" t="s">
        <v>547</v>
      </c>
    </row>
    <row r="141" spans="24:34" x14ac:dyDescent="0.25">
      <c r="X141" t="s">
        <v>321</v>
      </c>
      <c r="Y141" t="s">
        <v>320</v>
      </c>
      <c r="Z141" t="str">
        <f>FCs[[#This Row],[FC Description]]&amp;" "&amp;FCs[[#This Row],[FC ID]]</f>
        <v>Health Prom/Educ. &amp; Com.Dev. – Community Engagement and Capacity Building 72 5 50 14</v>
      </c>
      <c r="AC141" t="s">
        <v>466</v>
      </c>
      <c r="AD141" s="25">
        <v>4332</v>
      </c>
      <c r="AE141" s="25" t="s">
        <v>548</v>
      </c>
      <c r="AF141" t="s">
        <v>549</v>
      </c>
      <c r="AG141" t="str">
        <f>PROPER(Agencies[[#This Row],[HSP Name]])</f>
        <v>Moose Deer Point First Nation</v>
      </c>
      <c r="AH141" t="s">
        <v>550</v>
      </c>
    </row>
    <row r="142" spans="24:34" x14ac:dyDescent="0.25">
      <c r="X142" t="s">
        <v>323</v>
      </c>
      <c r="Y142" t="s">
        <v>322</v>
      </c>
      <c r="Z142" t="str">
        <f>FCs[[#This Row],[FC Description]]&amp;" "&amp;FCs[[#This Row],[FC ID]]</f>
        <v>Health Prom/Educ. &amp; Com. Dev.- Chronic Disease Education, Awareness and Prevention- General 72 5 50 35 10</v>
      </c>
      <c r="AC142" t="s">
        <v>466</v>
      </c>
      <c r="AD142" s="25">
        <v>4038</v>
      </c>
      <c r="AE142" s="25" t="s">
        <v>551</v>
      </c>
      <c r="AF142" t="s">
        <v>553</v>
      </c>
      <c r="AG142" t="str">
        <f>PROPER(Agencies[[#This Row],[HSP Name]])</f>
        <v>Muskoka Seniors Home Assistance</v>
      </c>
      <c r="AH142" t="s">
        <v>555</v>
      </c>
    </row>
    <row r="143" spans="24:34" x14ac:dyDescent="0.25">
      <c r="X143" t="s">
        <v>325</v>
      </c>
      <c r="Y143" t="s">
        <v>324</v>
      </c>
      <c r="Z143" t="str">
        <f>FCs[[#This Row],[FC Description]]&amp;" "&amp;FCs[[#This Row],[FC ID]]</f>
        <v>Health Prom/Educ. &amp; Com. Dev.- Chronic Disease Education, Awareness and Prevention- Diabetes 72 5 50 35 20</v>
      </c>
      <c r="AC143" t="s">
        <v>466</v>
      </c>
      <c r="AD143" s="25">
        <v>4828</v>
      </c>
      <c r="AE143" s="25" t="s">
        <v>552</v>
      </c>
      <c r="AF143" t="s">
        <v>554</v>
      </c>
      <c r="AG143" t="str">
        <f>PROPER(Agencies[[#This Row],[HSP Name]])</f>
        <v>North Simcoe Muskoka Hospice Palliative Care Network</v>
      </c>
      <c r="AH143" t="s">
        <v>556</v>
      </c>
    </row>
    <row r="144" spans="24:34" x14ac:dyDescent="0.25">
      <c r="X144" t="s">
        <v>327</v>
      </c>
      <c r="Y144" t="s">
        <v>326</v>
      </c>
      <c r="Z144" t="str">
        <f>FCs[[#This Row],[FC Description]]&amp;" "&amp;FCs[[#This Row],[FC ID]]</f>
        <v>Health Prom/Educ.&amp; Com. Dev. - Chronic Disease Education, Awareness and Prevention – Cardiac Rehabilitation 72 5 50 35 50</v>
      </c>
      <c r="AC144" t="s">
        <v>466</v>
      </c>
      <c r="AD144" s="25">
        <v>745</v>
      </c>
      <c r="AE144" s="25" t="s">
        <v>557</v>
      </c>
      <c r="AF144" t="s">
        <v>558</v>
      </c>
      <c r="AG144" t="str">
        <f>PROPER(Agencies[[#This Row],[HSP Name]])</f>
        <v>Orillia Soldiers' Memorial Hospital</v>
      </c>
      <c r="AH144" t="s">
        <v>559</v>
      </c>
    </row>
    <row r="145" spans="24:34" x14ac:dyDescent="0.25">
      <c r="X145" t="s">
        <v>329</v>
      </c>
      <c r="Y145" t="s">
        <v>328</v>
      </c>
      <c r="Z145" t="str">
        <f>FCs[[#This Row],[FC Description]]&amp;" "&amp;FCs[[#This Row],[FC ID]]</f>
        <v>Health Prom/Educ.&amp; Dev. – Diabetes Regional Coordination Centres 72 5 50 40 10</v>
      </c>
      <c r="AC145" t="s">
        <v>466</v>
      </c>
      <c r="AD145" s="25">
        <v>606</v>
      </c>
      <c r="AE145" s="25" t="s">
        <v>560</v>
      </c>
      <c r="AF145" t="s">
        <v>561</v>
      </c>
      <c r="AG145" t="str">
        <f>PROPER(Agencies[[#This Row],[HSP Name]])</f>
        <v>Royal Victoria Regional Health Centre</v>
      </c>
      <c r="AH145" t="s">
        <v>562</v>
      </c>
    </row>
    <row r="146" spans="24:34" x14ac:dyDescent="0.25">
      <c r="X146" t="s">
        <v>331</v>
      </c>
      <c r="Y146" t="s">
        <v>330</v>
      </c>
      <c r="Z146" t="str">
        <f>FCs[[#This Row],[FC Description]]&amp;" "&amp;FCs[[#This Row],[FC ID]]</f>
        <v>Health Prom/Educ.&amp; Com. Dev. – Heart and Stroke General 72 5 50 42 10</v>
      </c>
      <c r="AC146" t="s">
        <v>466</v>
      </c>
      <c r="AD146" s="25">
        <v>511</v>
      </c>
      <c r="AE146" s="25" t="s">
        <v>563</v>
      </c>
      <c r="AF146" t="s">
        <v>566</v>
      </c>
      <c r="AG146" t="str">
        <f>PROPER(Agencies[[#This Row],[HSP Name]])</f>
        <v>Seven South Street Treatment Centre</v>
      </c>
      <c r="AH146" t="s">
        <v>569</v>
      </c>
    </row>
    <row r="147" spans="24:34" x14ac:dyDescent="0.25">
      <c r="X147" t="s">
        <v>333</v>
      </c>
      <c r="Y147" t="s">
        <v>332</v>
      </c>
      <c r="Z147" t="str">
        <f>FCs[[#This Row],[FC Description]]&amp;" "&amp;FCs[[#This Row],[FC ID]]</f>
        <v>Health Prom/Educ.&amp; Com. Dev. – Stroke Strategy (Practice Guidelines) 72 5 50 42 20</v>
      </c>
      <c r="AC147" t="s">
        <v>466</v>
      </c>
      <c r="AD147" s="25">
        <v>265</v>
      </c>
      <c r="AE147" s="25" t="s">
        <v>564</v>
      </c>
      <c r="AF147" t="s">
        <v>567</v>
      </c>
      <c r="AG147" t="str">
        <f>PROPER(Agencies[[#This Row],[HSP Name]])</f>
        <v xml:space="preserve">Simcoe Peer Support For Mental Health &amp; Addictions </v>
      </c>
      <c r="AH147" t="s">
        <v>570</v>
      </c>
    </row>
    <row r="148" spans="24:34" x14ac:dyDescent="0.25">
      <c r="X148" t="s">
        <v>335</v>
      </c>
      <c r="Y148" t="s">
        <v>334</v>
      </c>
      <c r="Z148" t="str">
        <f>FCs[[#This Row],[FC Description]]&amp;" "&amp;FCs[[#This Row],[FC ID]]</f>
        <v>Health Prom/Educ.&amp; Com. Dev. - Personal Health and Wellness – General 72 5 50 45 05</v>
      </c>
      <c r="AC148" t="s">
        <v>466</v>
      </c>
      <c r="AD148" s="25">
        <v>8035</v>
      </c>
      <c r="AE148" s="25" t="s">
        <v>565</v>
      </c>
      <c r="AF148" t="s">
        <v>568</v>
      </c>
      <c r="AG148" t="str">
        <f>PROPER(Agencies[[#This Row],[HSP Name]])</f>
        <v>South Georgian Bay Community Health Centre</v>
      </c>
      <c r="AH148" t="s">
        <v>571</v>
      </c>
    </row>
    <row r="149" spans="24:34" x14ac:dyDescent="0.25">
      <c r="X149" t="s">
        <v>337</v>
      </c>
      <c r="Y149" t="s">
        <v>336</v>
      </c>
      <c r="Z149" t="str">
        <f>FCs[[#This Row],[FC Description]]&amp;" "&amp;FCs[[#This Row],[FC ID]]</f>
        <v>Health Prom/Educ.&amp; Com. Dev. - Personal Health and Wellness – Mental Wellness, Personal Health Practices and Coping Skills 72 5 50 45 10</v>
      </c>
      <c r="AC149" t="s">
        <v>466</v>
      </c>
      <c r="AD149" s="25">
        <v>4225</v>
      </c>
      <c r="AE149" s="25" t="s">
        <v>572</v>
      </c>
      <c r="AF149" t="s">
        <v>573</v>
      </c>
      <c r="AG149" t="str">
        <f>PROPER(Agencies[[#This Row],[HSP Name]])</f>
        <v>The Corporation Of The County Of Simcoe</v>
      </c>
      <c r="AH149" t="s">
        <v>574</v>
      </c>
    </row>
    <row r="150" spans="24:34" x14ac:dyDescent="0.25">
      <c r="X150" t="s">
        <v>339</v>
      </c>
      <c r="Y150" t="s">
        <v>338</v>
      </c>
      <c r="Z150" t="str">
        <f>FCs[[#This Row],[FC Description]]&amp;" "&amp;FCs[[#This Row],[FC ID]]</f>
        <v>Health Prom/Educ.&amp; Com. Dev. - Personal Health and Wellness – Oral Health 72 5 50 45 20</v>
      </c>
      <c r="AC150" t="s">
        <v>466</v>
      </c>
      <c r="AD150" s="25">
        <v>4382</v>
      </c>
      <c r="AE150" s="25" t="s">
        <v>575</v>
      </c>
      <c r="AF150" t="s">
        <v>580</v>
      </c>
      <c r="AG150" t="str">
        <f>PROPER(Agencies[[#This Row],[HSP Name]])</f>
        <v>Victorian Order Of Nurses For Canada-Ontario Branch, Simcoe County</v>
      </c>
      <c r="AH150" t="s">
        <v>585</v>
      </c>
    </row>
    <row r="151" spans="24:34" x14ac:dyDescent="0.25">
      <c r="X151" t="s">
        <v>341</v>
      </c>
      <c r="Y151" t="s">
        <v>340</v>
      </c>
      <c r="Z151" t="str">
        <f>FCs[[#This Row],[FC Description]]&amp;" "&amp;FCs[[#This Row],[FC ID]]</f>
        <v>Health Prom/Educ.&amp; Com. Dev. - Personal Health and Wellness – Healthy Child 72 5 50 45 30</v>
      </c>
      <c r="AC151" t="s">
        <v>466</v>
      </c>
      <c r="AD151" s="25">
        <v>4845</v>
      </c>
      <c r="AE151" s="25" t="s">
        <v>576</v>
      </c>
      <c r="AF151" t="s">
        <v>581</v>
      </c>
      <c r="AG151" t="str">
        <f>PROPER(Agencies[[#This Row],[HSP Name]])</f>
        <v>Vision Loss Rehabilitation Canada</v>
      </c>
      <c r="AH151" t="s">
        <v>586</v>
      </c>
    </row>
    <row r="152" spans="24:34" x14ac:dyDescent="0.25">
      <c r="X152" t="s">
        <v>343</v>
      </c>
      <c r="Y152" t="s">
        <v>342</v>
      </c>
      <c r="Z152" t="str">
        <f>FCs[[#This Row],[FC Description]]&amp;" "&amp;FCs[[#This Row],[FC ID]]</f>
        <v>Health Prom/Educ.&amp; Com. Dev - Personal Health and Wellness – Youth Development 72 5 50 45 40</v>
      </c>
      <c r="AC152" t="s">
        <v>466</v>
      </c>
      <c r="AD152" s="25">
        <v>4385</v>
      </c>
      <c r="AE152" s="25" t="s">
        <v>577</v>
      </c>
      <c r="AF152" t="s">
        <v>582</v>
      </c>
      <c r="AG152" t="str">
        <f>PROPER(Agencies[[#This Row],[HSP Name]])</f>
        <v>Wahta Mohawks</v>
      </c>
      <c r="AH152" t="s">
        <v>587</v>
      </c>
    </row>
    <row r="153" spans="24:34" x14ac:dyDescent="0.25">
      <c r="X153" t="s">
        <v>345</v>
      </c>
      <c r="Y153" t="s">
        <v>344</v>
      </c>
      <c r="Z153" t="str">
        <f>FCs[[#This Row],[FC Description]]&amp;" "&amp;FCs[[#This Row],[FC ID]]</f>
        <v>Health Prom/Educ.&amp; Com. Dev. - Family Clinics 72 5 50 50</v>
      </c>
      <c r="AC153" t="s">
        <v>466</v>
      </c>
      <c r="AD153" s="25">
        <v>972</v>
      </c>
      <c r="AE153" s="25" t="s">
        <v>578</v>
      </c>
      <c r="AF153" t="s">
        <v>583</v>
      </c>
      <c r="AG153" t="str">
        <f>PROPER(Agencies[[#This Row],[HSP Name]])</f>
        <v>Waypoint Centre For Mental Health Care</v>
      </c>
      <c r="AH153" t="s">
        <v>588</v>
      </c>
    </row>
    <row r="154" spans="24:34" x14ac:dyDescent="0.25">
      <c r="X154" t="s">
        <v>347</v>
      </c>
      <c r="Y154" t="s">
        <v>346</v>
      </c>
      <c r="Z154" t="str">
        <f>FCs[[#This Row],[FC Description]]&amp;" "&amp;FCs[[#This Row],[FC ID]]</f>
        <v>Health Promotion/Education - Oncology General 72 5 50 66 10</v>
      </c>
      <c r="AC154" t="s">
        <v>466</v>
      </c>
      <c r="AD154" s="25">
        <v>349</v>
      </c>
      <c r="AE154" s="25" t="s">
        <v>579</v>
      </c>
      <c r="AF154" t="s">
        <v>584</v>
      </c>
      <c r="AG154" t="str">
        <f>PROPER(Agencies[[#This Row],[HSP Name]])</f>
        <v>Wendat Community Programs</v>
      </c>
      <c r="AH154" t="s">
        <v>589</v>
      </c>
    </row>
    <row r="155" spans="24:34" x14ac:dyDescent="0.25">
      <c r="X155" t="s">
        <v>349</v>
      </c>
      <c r="Y155" t="s">
        <v>348</v>
      </c>
      <c r="Z155" t="str">
        <f>FCs[[#This Row],[FC Description]]&amp;" "&amp;FCs[[#This Row],[FC ID]]</f>
        <v>Health Promotion/Education - Oncology Practice Guidelines 72 5 50 66 20</v>
      </c>
    </row>
    <row r="156" spans="24:34" x14ac:dyDescent="0.25">
      <c r="X156" t="s">
        <v>351</v>
      </c>
      <c r="Y156" t="s">
        <v>350</v>
      </c>
      <c r="Z156" t="str">
        <f>FCs[[#This Row],[FC Description]]&amp;" "&amp;FCs[[#This Row],[FC ID]]</f>
        <v>Health Promotion/Education - Mental Health &amp; Additictions (CCAC Sector Only) 72 5 50 75 10</v>
      </c>
    </row>
    <row r="157" spans="24:34" x14ac:dyDescent="0.25">
      <c r="X157" t="s">
        <v>353</v>
      </c>
      <c r="Y157" t="s">
        <v>352</v>
      </c>
      <c r="Z157" t="str">
        <f>FCs[[#This Row],[FC Description]]&amp;" "&amp;FCs[[#This Row],[FC ID]]</f>
        <v>Health Prom. /Education MH - Awareness 72 5 50 76 10</v>
      </c>
    </row>
    <row r="158" spans="24:34" x14ac:dyDescent="0.25">
      <c r="X158" t="s">
        <v>355</v>
      </c>
      <c r="Y158" t="s">
        <v>354</v>
      </c>
      <c r="Z158" t="str">
        <f>FCs[[#This Row],[FC Description]]&amp;" "&amp;FCs[[#This Row],[FC ID]]</f>
        <v>Health Promo. /Education MH - Women 72 5 50 76 30</v>
      </c>
    </row>
    <row r="159" spans="24:34" x14ac:dyDescent="0.25">
      <c r="X159" t="s">
        <v>357</v>
      </c>
      <c r="Y159" t="s">
        <v>356</v>
      </c>
      <c r="Z159" t="str">
        <f>FCs[[#This Row],[FC Description]]&amp;" "&amp;FCs[[#This Row],[FC ID]]</f>
        <v>Health Promo. /Education MH - Community Development 72 5 50 76 40</v>
      </c>
    </row>
    <row r="160" spans="24:34" x14ac:dyDescent="0.25">
      <c r="X160" t="s">
        <v>359</v>
      </c>
      <c r="Y160" t="s">
        <v>358</v>
      </c>
      <c r="Z160" t="str">
        <f>FCs[[#This Row],[FC Description]]&amp;" "&amp;FCs[[#This Row],[FC ID]]</f>
        <v>Health Prom./Educ. Addictions - Drug Awareness 72 5 50 78 10</v>
      </c>
    </row>
    <row r="161" spans="24:26" x14ac:dyDescent="0.25">
      <c r="X161" t="s">
        <v>361</v>
      </c>
      <c r="Y161" t="s">
        <v>360</v>
      </c>
      <c r="Z161" t="str">
        <f>FCs[[#This Row],[FC Description]]&amp;" "&amp;FCs[[#This Row],[FC ID]]</f>
        <v>Health Prom./Educ Addictions - Problem Gambling Awareness 72 5 50 78 20</v>
      </c>
    </row>
    <row r="162" spans="24:26" x14ac:dyDescent="0.25">
      <c r="X162" t="s">
        <v>363</v>
      </c>
      <c r="Y162" t="s">
        <v>362</v>
      </c>
      <c r="Z162" t="str">
        <f>FCs[[#This Row],[FC Description]]&amp;" "&amp;FCs[[#This Row],[FC ID]]</f>
        <v>Health Prom./Educ. Addictions - Community Development-Substance Abuse 72 5 50 78 40</v>
      </c>
    </row>
    <row r="163" spans="24:26" x14ac:dyDescent="0.25">
      <c r="X163" t="s">
        <v>365</v>
      </c>
      <c r="Y163" t="s">
        <v>364</v>
      </c>
      <c r="Z163" t="str">
        <f>FCs[[#This Row],[FC Description]]&amp;" "&amp;FCs[[#This Row],[FC ID]]</f>
        <v>Health Prom. /Educ - Palliative Care Interdisciplinary 72 5 50 94 10</v>
      </c>
    </row>
    <row r="164" spans="24:26" x14ac:dyDescent="0.25">
      <c r="X164" t="s">
        <v>367</v>
      </c>
      <c r="Y164" t="s">
        <v>366</v>
      </c>
      <c r="Z164" t="str">
        <f>FCs[[#This Row],[FC Description]]&amp;" "&amp;FCs[[#This Row],[FC ID]]</f>
        <v>Health Prom. /Educ - Palliative Care Physician 72 5 50 94 90</v>
      </c>
    </row>
    <row r="165" spans="24:26" x14ac:dyDescent="0.25">
      <c r="X165" t="s">
        <v>369</v>
      </c>
      <c r="Y165" t="s">
        <v>368</v>
      </c>
      <c r="Z165" t="str">
        <f>FCs[[#This Row],[FC Description]]&amp;" "&amp;FCs[[#This Row],[FC ID]]</f>
        <v>Health Prom. /Educ - Palliative Care Pain and Symptom Management 72 5 50 94 91</v>
      </c>
    </row>
    <row r="166" spans="24:26" x14ac:dyDescent="0.25">
      <c r="X166" t="s">
        <v>371</v>
      </c>
      <c r="Y166" t="s">
        <v>370</v>
      </c>
      <c r="Z166" t="str">
        <f>FCs[[#This Row],[FC Description]]&amp;" "&amp;FCs[[#This Row],[FC ID]]</f>
        <v>Health Prom/Educ &amp; Dev - General Geriatric 72 5 50 96 10</v>
      </c>
    </row>
    <row r="167" spans="24:26" x14ac:dyDescent="0.25">
      <c r="X167" t="s">
        <v>373</v>
      </c>
      <c r="Y167" t="s">
        <v>372</v>
      </c>
      <c r="Z167" t="str">
        <f>FCs[[#This Row],[FC Description]]&amp;" "&amp;FCs[[#This Row],[FC ID]]</f>
        <v>Health Prom/Educ &amp; Dev - Psycho-Geriatric 72 5 50 96 76</v>
      </c>
    </row>
    <row r="168" spans="24:26" x14ac:dyDescent="0.25">
      <c r="X168" t="s">
        <v>375</v>
      </c>
      <c r="Y168" t="s">
        <v>374</v>
      </c>
      <c r="Z168" t="str">
        <f>FCs[[#This Row],[FC Description]]&amp;" "&amp;FCs[[#This Row],[FC ID]]</f>
        <v>Consumer Survivor Initiatives - Peer/Self Help 72 5 51 76 11</v>
      </c>
    </row>
    <row r="169" spans="24:26" x14ac:dyDescent="0.25">
      <c r="X169" t="s">
        <v>377</v>
      </c>
      <c r="Y169" t="s">
        <v>376</v>
      </c>
      <c r="Z169" t="str">
        <f>FCs[[#This Row],[FC Description]]&amp;" "&amp;FCs[[#This Row],[FC ID]]</f>
        <v>Consumer Survivor Initiatives - Alternative Businesses 72 5 51 76 12</v>
      </c>
    </row>
    <row r="170" spans="24:26" x14ac:dyDescent="0.25">
      <c r="X170" t="s">
        <v>379</v>
      </c>
      <c r="Y170" t="s">
        <v>378</v>
      </c>
      <c r="Z170" t="str">
        <f>FCs[[#This Row],[FC Description]]&amp;" "&amp;FCs[[#This Row],[FC ID]]</f>
        <v>Consumer Survivor Initiatives - Family Initiatives 72 5 51 76 20</v>
      </c>
    </row>
    <row r="171" spans="24:26" x14ac:dyDescent="0.25">
      <c r="X171" t="s">
        <v>381</v>
      </c>
      <c r="Y171" t="s">
        <v>380</v>
      </c>
      <c r="Z171" t="str">
        <f>FCs[[#This Row],[FC Description]]&amp;" "&amp;FCs[[#This Row],[FC ID]]</f>
        <v>Comm. Disease Prev. and Control – General 72 5 54</v>
      </c>
    </row>
    <row r="172" spans="24:26" x14ac:dyDescent="0.25">
      <c r="X172" t="s">
        <v>383</v>
      </c>
      <c r="Y172" t="s">
        <v>382</v>
      </c>
      <c r="Z172" t="str">
        <f>FCs[[#This Row],[FC Description]]&amp;" "&amp;FCs[[#This Row],[FC ID]]</f>
        <v>Promotion and Prevention 72 5 58</v>
      </c>
    </row>
    <row r="173" spans="24:26" x14ac:dyDescent="0.25">
      <c r="X173" t="s">
        <v>385</v>
      </c>
      <c r="Y173" t="s">
        <v>384</v>
      </c>
      <c r="Z173" t="str">
        <f>FCs[[#This Row],[FC Description]]&amp;" "&amp;FCs[[#This Row],[FC ID]]</f>
        <v>COM Environmental Health 72 5 60</v>
      </c>
    </row>
    <row r="174" spans="24:26" x14ac:dyDescent="0.25">
      <c r="X174" t="s">
        <v>387</v>
      </c>
      <c r="Y174" t="s">
        <v>386</v>
      </c>
      <c r="Z174" t="str">
        <f>FCs[[#This Row],[FC Description]]&amp;" "&amp;FCs[[#This Row],[FC ID]]</f>
        <v>COM Licensing 72 5 65</v>
      </c>
    </row>
    <row r="175" spans="24:26" x14ac:dyDescent="0.25">
      <c r="X175" t="s">
        <v>389</v>
      </c>
      <c r="Y175" t="s">
        <v>388</v>
      </c>
      <c r="Z175" t="str">
        <f>FCs[[#This Row],[FC Description]]&amp;" "&amp;FCs[[#This Row],[FC ID]]</f>
        <v>Information and Referral Service - General 72 5 70 10</v>
      </c>
    </row>
    <row r="176" spans="24:26" x14ac:dyDescent="0.25">
      <c r="X176" t="s">
        <v>391</v>
      </c>
      <c r="Y176" t="s">
        <v>390</v>
      </c>
      <c r="Z176" t="str">
        <f>FCs[[#This Row],[FC Description]]&amp;" "&amp;FCs[[#This Row],[FC ID]]</f>
        <v>Information and Referral Service - Provincial Mental Health 72 5 70 76</v>
      </c>
    </row>
    <row r="177" spans="24:26" x14ac:dyDescent="0.25">
      <c r="X177" t="s">
        <v>393</v>
      </c>
      <c r="Y177" t="s">
        <v>392</v>
      </c>
      <c r="Z177" t="str">
        <f>FCs[[#This Row],[FC Description]]&amp;" "&amp;FCs[[#This Row],[FC ID]]</f>
        <v>Information and Referral Service - Provincial - Substance Abuse 72 5 70 78 11</v>
      </c>
    </row>
    <row r="178" spans="24:26" x14ac:dyDescent="0.25">
      <c r="X178" t="s">
        <v>395</v>
      </c>
      <c r="Y178" t="s">
        <v>394</v>
      </c>
      <c r="Z178" t="str">
        <f>FCs[[#This Row],[FC Description]]&amp;" "&amp;FCs[[#This Row],[FC ID]]</f>
        <v>Information and Referral Service - Provincial - Problem Gambling 72 5 70 78 12</v>
      </c>
    </row>
    <row r="179" spans="24:26" x14ac:dyDescent="0.25">
      <c r="X179" t="s">
        <v>397</v>
      </c>
      <c r="Y179" t="s">
        <v>396</v>
      </c>
      <c r="Z179" t="str">
        <f>FCs[[#This Row],[FC Description]]&amp;" "&amp;FCs[[#This Row],[FC ID]]</f>
        <v>Provincial &amp; Regional Health System Development 72 5 75</v>
      </c>
    </row>
    <row r="180" spans="24:26" x14ac:dyDescent="0.25">
      <c r="X180" t="s">
        <v>399</v>
      </c>
      <c r="Y180" t="s">
        <v>398</v>
      </c>
      <c r="Z180" t="str">
        <f>FCs[[#This Row],[FC Description]]&amp;" "&amp;FCs[[#This Row],[FC ID]]</f>
        <v>CSS IH - Service Arrangement/Coordination 72 5 82 05</v>
      </c>
    </row>
    <row r="181" spans="24:26" x14ac:dyDescent="0.25">
      <c r="X181" t="s">
        <v>401</v>
      </c>
      <c r="Y181" t="s">
        <v>400</v>
      </c>
      <c r="Z181" t="str">
        <f>FCs[[#This Row],[FC Description]]&amp;" "&amp;FCs[[#This Row],[FC ID]]</f>
        <v>CSS IH - Case Management 72 5 82 09</v>
      </c>
    </row>
    <row r="182" spans="24:26" x14ac:dyDescent="0.25">
      <c r="X182" t="s">
        <v>403</v>
      </c>
      <c r="Y182" t="s">
        <v>402</v>
      </c>
      <c r="Z182" t="str">
        <f>FCs[[#This Row],[FC Description]]&amp;" "&amp;FCs[[#This Row],[FC ID]]</f>
        <v>CSS IH - Meals Delivery 72 5 82 10</v>
      </c>
    </row>
    <row r="183" spans="24:26" x14ac:dyDescent="0.25">
      <c r="X183" t="s">
        <v>405</v>
      </c>
      <c r="Y183" t="s">
        <v>404</v>
      </c>
      <c r="Z183" t="str">
        <f>FCs[[#This Row],[FC Description]]&amp;" "&amp;FCs[[#This Row],[FC ID]]</f>
        <v>CSS IH - Social and Congregate Dining 72 5 82 12</v>
      </c>
    </row>
    <row r="184" spans="24:26" x14ac:dyDescent="0.25">
      <c r="X184" t="s">
        <v>407</v>
      </c>
      <c r="Y184" t="s">
        <v>406</v>
      </c>
      <c r="Z184" t="str">
        <f>FCs[[#This Row],[FC Description]]&amp;" "&amp;FCs[[#This Row],[FC ID]]</f>
        <v>CSS IH - Transportation - Client 72 5 82 14</v>
      </c>
    </row>
    <row r="185" spans="24:26" x14ac:dyDescent="0.25">
      <c r="X185" t="s">
        <v>409</v>
      </c>
      <c r="Y185" t="s">
        <v>408</v>
      </c>
      <c r="Z185" t="str">
        <f>FCs[[#This Row],[FC Description]]&amp;" "&amp;FCs[[#This Row],[FC ID]]</f>
        <v>CSS IH - Crisis Intervention and Support 72 5 82 15</v>
      </c>
    </row>
    <row r="186" spans="24:26" x14ac:dyDescent="0.25">
      <c r="X186" t="s">
        <v>411</v>
      </c>
      <c r="Y186" t="s">
        <v>410</v>
      </c>
      <c r="Z186" t="str">
        <f>FCs[[#This Row],[FC Description]]&amp;" "&amp;FCs[[#This Row],[FC ID]]</f>
        <v>CSS IH - Day Services 72 5 82 20</v>
      </c>
    </row>
    <row r="187" spans="24:26" x14ac:dyDescent="0.25">
      <c r="X187" t="s">
        <v>413</v>
      </c>
      <c r="Y187" t="s">
        <v>412</v>
      </c>
      <c r="Z187" t="str">
        <f>FCs[[#This Row],[FC Description]]&amp;" "&amp;FCs[[#This Row],[FC ID]]</f>
        <v>CSS IH - Homemaking 72 5 82 31</v>
      </c>
    </row>
    <row r="188" spans="24:26" x14ac:dyDescent="0.25">
      <c r="X188" t="s">
        <v>415</v>
      </c>
      <c r="Y188" t="s">
        <v>414</v>
      </c>
      <c r="Z188" t="str">
        <f>FCs[[#This Row],[FC Description]]&amp;" "&amp;FCs[[#This Row],[FC ID]]</f>
        <v>CSS IH - Home Maintenance 72 5 82 32</v>
      </c>
    </row>
    <row r="189" spans="24:26" x14ac:dyDescent="0.25">
      <c r="X189" t="s">
        <v>417</v>
      </c>
      <c r="Y189" t="s">
        <v>416</v>
      </c>
      <c r="Z189" t="str">
        <f>FCs[[#This Row],[FC Description]]&amp;" "&amp;FCs[[#This Row],[FC ID]]</f>
        <v>CSS IH - Personal Support/Independence Training 72 5 82 33</v>
      </c>
    </row>
    <row r="190" spans="24:26" x14ac:dyDescent="0.25">
      <c r="X190" t="s">
        <v>419</v>
      </c>
      <c r="Y190" t="s">
        <v>418</v>
      </c>
      <c r="Z190" t="str">
        <f>FCs[[#This Row],[FC Description]]&amp;" "&amp;FCs[[#This Row],[FC ID]]</f>
        <v>CSS IH - Respite 72 5 82 34</v>
      </c>
    </row>
    <row r="191" spans="24:26" x14ac:dyDescent="0.25">
      <c r="X191" t="s">
        <v>421</v>
      </c>
      <c r="Y191" t="s">
        <v>420</v>
      </c>
      <c r="Z191" t="str">
        <f>FCs[[#This Row],[FC Description]]&amp;" "&amp;FCs[[#This Row],[FC ID]]</f>
        <v>CSS IH - Comb. PS/HM/Respite Services 72 5 82 35</v>
      </c>
    </row>
    <row r="192" spans="24:26" x14ac:dyDescent="0.25">
      <c r="X192" t="s">
        <v>423</v>
      </c>
      <c r="Y192" t="s">
        <v>422</v>
      </c>
      <c r="Z192" t="str">
        <f>FCs[[#This Row],[FC Description]]&amp;" "&amp;FCs[[#This Row],[FC ID]]</f>
        <v>CSS IH - Overnight Stay Care 72 5 82 40</v>
      </c>
    </row>
    <row r="193" spans="24:26" x14ac:dyDescent="0.25">
      <c r="X193" t="s">
        <v>425</v>
      </c>
      <c r="Y193" t="s">
        <v>424</v>
      </c>
      <c r="Z193" t="str">
        <f>FCs[[#This Row],[FC Description]]&amp;" "&amp;FCs[[#This Row],[FC ID]]</f>
        <v>CSS IH - Assisted Living Services 72 5 82 45</v>
      </c>
    </row>
    <row r="194" spans="24:26" x14ac:dyDescent="0.25">
      <c r="X194" t="s">
        <v>427</v>
      </c>
      <c r="Y194" t="s">
        <v>426</v>
      </c>
      <c r="Z194" t="str">
        <f>FCs[[#This Row],[FC Description]]&amp;" "&amp;FCs[[#This Row],[FC ID]]</f>
        <v>CSS IH - Caregiver Support 72 5 82 50</v>
      </c>
    </row>
    <row r="195" spans="24:26" x14ac:dyDescent="0.25">
      <c r="X195" t="s">
        <v>429</v>
      </c>
      <c r="Y195" t="s">
        <v>428</v>
      </c>
      <c r="Z195" t="str">
        <f>FCs[[#This Row],[FC Description]]&amp;" "&amp;FCs[[#This Row],[FC ID]]</f>
        <v>CSS IH - Emergency Response Support Services 72 5 82 55</v>
      </c>
    </row>
    <row r="196" spans="24:26" x14ac:dyDescent="0.25">
      <c r="X196" t="s">
        <v>431</v>
      </c>
      <c r="Y196" t="s">
        <v>430</v>
      </c>
      <c r="Z196" t="str">
        <f>FCs[[#This Row],[FC Description]]&amp;" "&amp;FCs[[#This Row],[FC ID]]</f>
        <v>CSS IH - Visiting - Social and Safety 72 5 82 60</v>
      </c>
    </row>
    <row r="197" spans="24:26" x14ac:dyDescent="0.25">
      <c r="X197" t="s">
        <v>433</v>
      </c>
      <c r="Y197" t="s">
        <v>432</v>
      </c>
      <c r="Z197" t="str">
        <f>FCs[[#This Row],[FC Description]]&amp;" "&amp;FCs[[#This Row],[FC ID]]</f>
        <v>CSS IH - Visiting - Hospice Services 72 5 82 65</v>
      </c>
    </row>
    <row r="198" spans="24:26" x14ac:dyDescent="0.25">
      <c r="X198" t="s">
        <v>435</v>
      </c>
      <c r="Y198" t="s">
        <v>434</v>
      </c>
      <c r="Z198" t="str">
        <f>FCs[[#This Row],[FC Description]]&amp;" "&amp;FCs[[#This Row],[FC ID]]</f>
        <v>CSS IH - Foot Care Services 72 5 82 70</v>
      </c>
    </row>
    <row r="199" spans="24:26" x14ac:dyDescent="0.25">
      <c r="X199" t="s">
        <v>437</v>
      </c>
      <c r="Y199" t="s">
        <v>436</v>
      </c>
      <c r="Z199" t="str">
        <f>FCs[[#This Row],[FC Description]]&amp;" "&amp;FCs[[#This Row],[FC ID]]</f>
        <v>CSS IH - Vision Rehabilitation Services 72 5 82 75</v>
      </c>
    </row>
    <row r="200" spans="24:26" x14ac:dyDescent="0.25">
      <c r="X200" t="s">
        <v>439</v>
      </c>
      <c r="Y200" t="s">
        <v>438</v>
      </c>
      <c r="Z200" t="str">
        <f>FCs[[#This Row],[FC Description]]&amp;" "&amp;FCs[[#This Row],[FC ID]]</f>
        <v>CSS IH - Deaf, Deafened and Hard of Hearing Care Services 72 5 82 77</v>
      </c>
    </row>
    <row r="201" spans="24:26" x14ac:dyDescent="0.25">
      <c r="X201" t="s">
        <v>441</v>
      </c>
      <c r="Y201" t="s">
        <v>440</v>
      </c>
      <c r="Z201" t="str">
        <f>FCs[[#This Row],[FC Description]]&amp;" "&amp;FCs[[#This Row],[FC ID]]</f>
        <v>CSS ABI - Day Services 72 5 83 20</v>
      </c>
    </row>
    <row r="202" spans="24:26" x14ac:dyDescent="0.25">
      <c r="X202" t="s">
        <v>443</v>
      </c>
      <c r="Y202" t="s">
        <v>442</v>
      </c>
      <c r="Z202" t="str">
        <f>FCs[[#This Row],[FC Description]]&amp;" "&amp;FCs[[#This Row],[FC ID]]</f>
        <v>CSS ABI - Vocational Training and Education Services 72 5 83 30</v>
      </c>
    </row>
    <row r="203" spans="24:26" x14ac:dyDescent="0.25">
      <c r="X203" t="s">
        <v>445</v>
      </c>
      <c r="Y203" t="s">
        <v>444</v>
      </c>
      <c r="Z203" t="str">
        <f>FCs[[#This Row],[FC Description]]&amp;" "&amp;FCs[[#This Row],[FC ID]]</f>
        <v>CSS ABI - Personal Support/Independence Training 72 5 83 33</v>
      </c>
    </row>
    <row r="204" spans="24:26" x14ac:dyDescent="0.25">
      <c r="X204" t="s">
        <v>447</v>
      </c>
      <c r="Y204" t="s">
        <v>446</v>
      </c>
      <c r="Z204" t="str">
        <f>FCs[[#This Row],[FC Description]]&amp;" "&amp;FCs[[#This Row],[FC ID]]</f>
        <v>CSS ABI - Assisted Living Services 72 5 83 45</v>
      </c>
    </row>
    <row r="205" spans="24:26" x14ac:dyDescent="0.25">
      <c r="X205" t="s">
        <v>449</v>
      </c>
      <c r="Y205" t="s">
        <v>448</v>
      </c>
      <c r="Z205" t="str">
        <f>FCs[[#This Row],[FC Description]]&amp;" "&amp;FCs[[#This Row],[FC ID]]</f>
        <v>CSS Com Sup Init - Support Service Training 72 5 84 10</v>
      </c>
    </row>
    <row r="206" spans="24:26" x14ac:dyDescent="0.25">
      <c r="X206" t="s">
        <v>451</v>
      </c>
      <c r="Y206" t="s">
        <v>450</v>
      </c>
      <c r="Z206" t="str">
        <f>FCs[[#This Row],[FC Description]]&amp;" "&amp;FCs[[#This Row],[FC ID]]</f>
        <v>CSS Com Sup Init - Self Managed Attendant Services 72 5 84 20</v>
      </c>
    </row>
    <row r="207" spans="24:26" x14ac:dyDescent="0.25">
      <c r="X207" t="s">
        <v>453</v>
      </c>
      <c r="Y207" t="s">
        <v>452</v>
      </c>
      <c r="Z207" t="str">
        <f>FCs[[#This Row],[FC Description]]&amp;" "&amp;FCs[[#This Row],[FC ID]]</f>
        <v>CSS Com Sup Init - Personal Support Worker Training 72 5 84 30</v>
      </c>
    </row>
    <row r="208" spans="24:26" x14ac:dyDescent="0.25">
      <c r="X208" t="s">
        <v>455</v>
      </c>
      <c r="Y208" t="s">
        <v>454</v>
      </c>
      <c r="Z208" t="str">
        <f>FCs[[#This Row],[FC Description]]&amp;" "&amp;FCs[[#This Row],[FC ID]]</f>
        <v>CHC Client Support Services 72 5 85</v>
      </c>
    </row>
    <row r="209" spans="24:26" x14ac:dyDescent="0.25">
      <c r="X209" t="s">
        <v>457</v>
      </c>
      <c r="Y209" t="s">
        <v>456</v>
      </c>
      <c r="Z209" t="str">
        <f>FCs[[#This Row],[FC Description]]&amp;" "&amp;FCs[[#This Row],[FC ID]]</f>
        <v>CHC Research - Community Health and Social Services 7*7 50 72 7 50</v>
      </c>
    </row>
    <row r="210" spans="24:26" x14ac:dyDescent="0.25">
      <c r="X210" t="s">
        <v>459</v>
      </c>
      <c r="Y210" t="s">
        <v>458</v>
      </c>
      <c r="Z210" t="str">
        <f>FCs[[#This Row],[FC Description]]&amp;" "&amp;FCs[[#This Row],[FC ID]]</f>
        <v>Education-In Service 72 8 40</v>
      </c>
    </row>
    <row r="211" spans="24:26" x14ac:dyDescent="0.25">
      <c r="X211" t="s">
        <v>461</v>
      </c>
      <c r="Y211" t="s">
        <v>460</v>
      </c>
      <c r="Z211" t="str">
        <f>FCs[[#This Row],[FC Description]]&amp;" "&amp;FCs[[#This Row],[FC ID]]</f>
        <v>COM Health Prom/Educ.&amp; Com. Dev. - COM Chronic Disease Education, Awareness and Prevention – Asthma/COPD 73 5 50 35 30</v>
      </c>
    </row>
    <row r="212" spans="24:26" x14ac:dyDescent="0.25">
      <c r="X212" t="s">
        <v>463</v>
      </c>
      <c r="Y212" t="s">
        <v>462</v>
      </c>
      <c r="Z212" t="str">
        <f>FCs[[#This Row],[FC Description]]&amp;" "&amp;FCs[[#This Row],[FC ID]]</f>
        <v>Health Prom/Educ. &amp; Com. Dev.- Chronic Disease Education, Awareness and Prevention- Hepetitis C / HIV/AIDS 73 5 50 35 40</v>
      </c>
    </row>
    <row r="213" spans="24:26" x14ac:dyDescent="0.25">
      <c r="X213" t="s">
        <v>465</v>
      </c>
      <c r="Y213" t="s">
        <v>464</v>
      </c>
      <c r="Z213" t="str">
        <f>FCs[[#This Row],[FC Description]]&amp;" "&amp;FCs[[#This Row],[FC ID]]</f>
        <v>Undistributed Accounting Centres 82 9</v>
      </c>
    </row>
  </sheetData>
  <sheetProtection sheet="1" objects="1" scenarios="1"/>
  <phoneticPr fontId="31" type="noConversion"/>
  <pageMargins left="0.7" right="0.7" top="0.75" bottom="0.75" header="0.3" footer="0.3"/>
  <tableParts count="6">
    <tablePart r:id="rId1"/>
    <tablePart r:id="rId2"/>
    <tablePart r:id="rId3"/>
    <tablePart r:id="rId4"/>
    <tablePart r:id="rId5"/>
    <tablePart r:id="rId6"/>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ct:contentTypeSchema xmlns:ct="http://schemas.microsoft.com/office/2006/metadata/contentType" xmlns:ma="http://schemas.microsoft.com/office/2006/metadata/properties/metaAttributes" ct:_="" ma:_="" ma:contentTypeName="LHIN Document" ma:contentTypeID="0x010100F5CC782DE02E0A46B8583BABC5F01BA000A70A8DAD80DC934C9ADDE3FB99F44FE2" ma:contentTypeVersion="19" ma:contentTypeDescription="" ma:contentTypeScope="" ma:versionID="d9b9b3f41c54cf0cc530a40885e3def9">
  <xsd:schema xmlns:xsd="http://www.w3.org/2001/XMLSchema" xmlns:xs="http://www.w3.org/2001/XMLSchema" xmlns:p="http://schemas.microsoft.com/office/2006/metadata/properties" xmlns:ns1="http://schemas.microsoft.com/sharepoint/v3" xmlns:ns2="ace8a13e-82a4-4a5e-91b5-6f8894e54366" xmlns:ns3="a3d71736-a0a0-4c21-88c8-8a2a4e50cf95" xmlns:ns4="77f56e56-7eb9-40f1-873e-f877521e69ba" targetNamespace="http://schemas.microsoft.com/office/2006/metadata/properties" ma:root="true" ma:fieldsID="4fcbadeddbd38fe4877bcf51b1cb4837" ns1:_="" ns2:_="" ns3:_="" ns4:_="">
    <xsd:import namespace="http://schemas.microsoft.com/sharepoint/v3"/>
    <xsd:import namespace="ace8a13e-82a4-4a5e-91b5-6f8894e54366"/>
    <xsd:import namespace="a3d71736-a0a0-4c21-88c8-8a2a4e50cf95"/>
    <xsd:import namespace="77f56e56-7eb9-40f1-873e-f877521e69ba"/>
    <xsd:element name="properties">
      <xsd:complexType>
        <xsd:sequence>
          <xsd:element name="documentManagement">
            <xsd:complexType>
              <xsd:all>
                <xsd:element ref="ns2:LHIN_x0020_Document" minOccurs="0"/>
                <xsd:element ref="ns1:RoutingRuleDescription" minOccurs="0"/>
                <xsd:element ref="ns2:Effective_x0020_Date" minOccurs="0"/>
                <xsd:element ref="ns2:Fiscal_x0020_Year" minOccurs="0"/>
                <xsd:element ref="ns3:HSP" minOccurs="0"/>
                <xsd:element ref="ns2:Sector" minOccurs="0"/>
                <xsd:element ref="ns4:Program" minOccurs="0"/>
                <xsd:element ref="ns4:_dlc_DocId" minOccurs="0"/>
                <xsd:element ref="ns4:_dlc_DocIdUrl" minOccurs="0"/>
                <xsd:element ref="ns4: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RoutingRuleDescription" ma:index="2" nillable="true" ma:displayName="Description" ma:internalName="RoutingRuleDescription" ma:readOnly="false">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ace8a13e-82a4-4a5e-91b5-6f8894e54366" elementFormDefault="qualified">
    <xsd:import namespace="http://schemas.microsoft.com/office/2006/documentManagement/types"/>
    <xsd:import namespace="http://schemas.microsoft.com/office/infopath/2007/PartnerControls"/>
    <xsd:element name="LHIN_x0020_Document" ma:index="1" nillable="true" ma:displayName="LHIN Document" ma:format="Dropdown" ma:internalName="LHIN_x0020_Document">
      <xsd:simpleType>
        <xsd:restriction base="dms:Choice">
          <xsd:enumeration value="Action Item"/>
          <xsd:enumeration value="Advertisement"/>
          <xsd:enumeration value="Agenda"/>
          <xsd:enumeration value="Agreement/Contract"/>
          <xsd:enumeration value="Appendix"/>
          <xsd:enumeration value="Attestation"/>
          <xsd:enumeration value="Backgrounder"/>
          <xsd:enumeration value="Briefing Note"/>
          <xsd:enumeration value="Business Case"/>
          <xsd:enumeration value="Checklist"/>
          <xsd:enumeration value="Closed Session"/>
          <xsd:enumeration value="Constating Documents"/>
          <xsd:enumeration value="Contact List"/>
          <xsd:enumeration value="Data"/>
          <xsd:enumeration value="Declarations"/>
          <xsd:enumeration value="Evaluation"/>
          <xsd:enumeration value="Form"/>
          <xsd:enumeration value="Fax"/>
          <xsd:enumeration value="Graphic/Images"/>
          <xsd:enumeration value="Integration Decisions"/>
          <xsd:enumeration value="Labels &amp; Tent Cards"/>
          <xsd:enumeration value="Legal"/>
          <xsd:enumeration value="Legislation"/>
          <xsd:enumeration value="Letters/Correspondance"/>
          <xsd:enumeration value="Meeting Minutes"/>
          <xsd:enumeration value="Members"/>
          <xsd:enumeration value="Memo"/>
          <xsd:enumeration value="Newsletters"/>
          <xsd:enumeration value="Notice of Decision"/>
          <xsd:enumeration value="Orientation"/>
          <xsd:enumeration value="Other"/>
          <xsd:enumeration value="Presentation"/>
          <xsd:enumeration value="Procurement"/>
          <xsd:enumeration value="Project Document"/>
          <xsd:enumeration value="Proposal"/>
          <xsd:enumeration value="Policies/Procedures"/>
          <xsd:enumeration value="Recruitment"/>
          <xsd:enumeration value="Report"/>
          <xsd:enumeration value="Resource Tool"/>
          <xsd:enumeration value="Spreadsheet"/>
          <xsd:enumeration value="Survey &amp; Feedback"/>
          <xsd:enumeration value="Templates"/>
          <xsd:enumeration value="Toolkit"/>
        </xsd:restriction>
      </xsd:simpleType>
    </xsd:element>
    <xsd:element name="Effective_x0020_Date" ma:index="3" nillable="true" ma:displayName="Effective Date" ma:format="DateOnly" ma:internalName="Effective_x0020_Date">
      <xsd:simpleType>
        <xsd:restriction base="dms:DateTime"/>
      </xsd:simpleType>
    </xsd:element>
    <xsd:element name="Fiscal_x0020_Year" ma:index="4" nillable="true" ma:displayName="Fiscal Year" ma:format="Dropdown" ma:internalName="Fiscal_x0020_Year">
      <xsd:simpleType>
        <xsd:restriction base="dms:Choice">
          <xsd:enumeration value="N/A"/>
          <xsd:enumeration value="2017/18"/>
          <xsd:enumeration value="2016/17"/>
          <xsd:enumeration value="2015/16"/>
          <xsd:enumeration value="2014/15"/>
          <xsd:enumeration value="2013/14"/>
          <xsd:enumeration value="2012/13"/>
          <xsd:enumeration value="2011/12"/>
          <xsd:enumeration value="2010/11"/>
          <xsd:enumeration value="2009/10"/>
          <xsd:enumeration value="2008/09"/>
          <xsd:enumeration value="2007/08"/>
          <xsd:enumeration value="2006/07"/>
          <xsd:enumeration value="2005/06"/>
          <xsd:enumeration value="Pre 2005/06"/>
        </xsd:restriction>
      </xsd:simpleType>
    </xsd:element>
    <xsd:element name="Sector" ma:index="6" nillable="true" ma:displayName="Sector" ma:format="Dropdown" ma:internalName="Sector">
      <xsd:simpleType>
        <xsd:restriction base="dms:Choice">
          <xsd:enumeration value="Aboriginal"/>
          <xsd:enumeration value="Community Care Access Centre"/>
          <xsd:enumeration value="Community Health Centres"/>
          <xsd:enumeration value="Community Support Services"/>
          <xsd:enumeration value="Family Health Teams"/>
          <xsd:enumeration value="French Lanuage Entity"/>
          <xsd:enumeration value="Hospital"/>
          <xsd:enumeration value="Long Term Care"/>
          <xsd:enumeration value="Mental Health &amp; Addictions"/>
          <xsd:enumeration value="Ministry of Health"/>
          <xsd:enumeration value="Other Primary Health Care"/>
          <xsd:enumeration value="Stake Holders"/>
          <xsd:enumeration value="All"/>
          <xsd:enumeration value="Other"/>
        </xsd:restriction>
      </xsd:simpleType>
    </xsd:element>
  </xsd:schema>
  <xsd:schema xmlns:xsd="http://www.w3.org/2001/XMLSchema" xmlns:xs="http://www.w3.org/2001/XMLSchema" xmlns:dms="http://schemas.microsoft.com/office/2006/documentManagement/types" xmlns:pc="http://schemas.microsoft.com/office/infopath/2007/PartnerControls" targetNamespace="a3d71736-a0a0-4c21-88c8-8a2a4e50cf95" elementFormDefault="qualified">
    <xsd:import namespace="http://schemas.microsoft.com/office/2006/documentManagement/types"/>
    <xsd:import namespace="http://schemas.microsoft.com/office/infopath/2007/PartnerControls"/>
    <xsd:element name="HSP" ma:index="5" nillable="true" ma:displayName="HSP" ma:internalName="HSP">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77f56e56-7eb9-40f1-873e-f877521e69ba" elementFormDefault="qualified">
    <xsd:import namespace="http://schemas.microsoft.com/office/2006/documentManagement/types"/>
    <xsd:import namespace="http://schemas.microsoft.com/office/infopath/2007/PartnerControls"/>
    <xsd:element name="Program" ma:index="7" nillable="true" ma:displayName="Program" ma:format="Dropdown" ma:internalName="Program">
      <xsd:simpleType>
        <xsd:restriction base="dms:Choice">
          <xsd:enumeration value="Aging at Home"/>
          <xsd:enumeration value="Cancer Care Ontario"/>
          <xsd:enumeration value="Care Connectors"/>
          <xsd:enumeration value="Eating Disorder Awareness and Prevention"/>
          <xsd:enumeration value="e-Health"/>
          <xsd:enumeration value="Funding Formula"/>
          <xsd:enumeration value="Health Infrastructure Renewal Fund"/>
          <xsd:enumeration value="High Growth Funding"/>
          <xsd:enumeration value="LHIN Operations"/>
          <xsd:enumeration value="Ministry Initiatives"/>
          <xsd:enumeration value="New LHIN Funding"/>
          <xsd:enumeration value="Post Construction Operating Plan"/>
          <xsd:enumeration value="Provincial Priorities"/>
          <xsd:enumeration value="Reallocation"/>
          <xsd:enumeration value="Recoveries"/>
          <xsd:enumeration value="Urgent Priorities Fund"/>
          <xsd:enumeration value="Wait Time"/>
          <xsd:enumeration value="Other"/>
        </xsd:restriction>
      </xsd:simpleType>
    </xsd:element>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6"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7" nillable="true" ma:displayName="Persist ID" ma:description="Keep ID on add."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8"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3.xml><?xml version="1.0" encoding="utf-8"?>
<?mso-contentType ?>
<SharedContentType xmlns="Microsoft.SharePoint.Taxonomy.ContentTypeSync" SourceId="9d11c96e-02d6-440f-a658-0f5809387797" ContentTypeId="0x010100F5CC782DE02E0A46B8583BABC5F01BA0" PreviousValue="false"/>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p:properties xmlns:p="http://schemas.microsoft.com/office/2006/metadata/properties" xmlns:xsi="http://www.w3.org/2001/XMLSchema-instance" xmlns:pc="http://schemas.microsoft.com/office/infopath/2007/PartnerControls">
  <documentManagement>
    <Effective_x0020_Date xmlns="ace8a13e-82a4-4a5e-91b5-6f8894e54366" xsi:nil="true"/>
    <Sector xmlns="ace8a13e-82a4-4a5e-91b5-6f8894e54366" xsi:nil="true"/>
    <Program xmlns="77f56e56-7eb9-40f1-873e-f877521e69ba" xsi:nil="true"/>
    <HSP xmlns="a3d71736-a0a0-4c21-88c8-8a2a4e50cf95" xsi:nil="true"/>
    <LHIN_x0020_Document xmlns="ace8a13e-82a4-4a5e-91b5-6f8894e54366" xsi:nil="true"/>
    <RoutingRuleDescription xmlns="http://schemas.microsoft.com/sharepoint/v3" xsi:nil="true"/>
    <Fiscal_x0020_Year xmlns="ace8a13e-82a4-4a5e-91b5-6f8894e54366" xsi:nil="true"/>
    <_dlc_DocId xmlns="77f56e56-7eb9-40f1-873e-f877521e69ba">DCNNMPJYQ5W5-110-62732</_dlc_DocId>
    <_dlc_DocIdUrl xmlns="77f56e56-7eb9-40f1-873e-f877521e69ba">
      <Url>http://portal.lhins.on.ca/cw/hsp/funded/_layouts/DocIdRedir.aspx?ID=DCNNMPJYQ5W5-110-62732</Url>
      <Description>DCNNMPJYQ5W5-110-62732</Description>
    </_dlc_DocIdUrl>
  </documentManagement>
</p:properties>
</file>

<file path=customXml/itemProps1.xml><?xml version="1.0" encoding="utf-8"?>
<ds:datastoreItem xmlns:ds="http://schemas.openxmlformats.org/officeDocument/2006/customXml" ds:itemID="{743A2A53-0B14-4BB4-80D2-781C451B4D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ace8a13e-82a4-4a5e-91b5-6f8894e54366"/>
    <ds:schemaRef ds:uri="a3d71736-a0a0-4c21-88c8-8a2a4e50cf95"/>
    <ds:schemaRef ds:uri="77f56e56-7eb9-40f1-873e-f877521e69b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BA2E687D-8981-4C3C-B21C-A92A76ED08AD}">
  <ds:schemaRefs>
    <ds:schemaRef ds:uri="http://schemas.microsoft.com/sharepoint/events"/>
  </ds:schemaRefs>
</ds:datastoreItem>
</file>

<file path=customXml/itemProps3.xml><?xml version="1.0" encoding="utf-8"?>
<ds:datastoreItem xmlns:ds="http://schemas.openxmlformats.org/officeDocument/2006/customXml" ds:itemID="{CEAFE500-EC6A-45CA-A00C-749121509D6D}">
  <ds:schemaRefs>
    <ds:schemaRef ds:uri="Microsoft.SharePoint.Taxonomy.ContentTypeSync"/>
  </ds:schemaRefs>
</ds:datastoreItem>
</file>

<file path=customXml/itemProps4.xml><?xml version="1.0" encoding="utf-8"?>
<ds:datastoreItem xmlns:ds="http://schemas.openxmlformats.org/officeDocument/2006/customXml" ds:itemID="{D938626E-C2F2-4771-8C50-FE4DB5F5AA99}">
  <ds:schemaRefs>
    <ds:schemaRef ds:uri="http://schemas.microsoft.com/sharepoint/v3/contenttype/forms"/>
  </ds:schemaRefs>
</ds:datastoreItem>
</file>

<file path=customXml/itemProps5.xml><?xml version="1.0" encoding="utf-8"?>
<ds:datastoreItem xmlns:ds="http://schemas.openxmlformats.org/officeDocument/2006/customXml" ds:itemID="{2D5B351B-6AB5-4742-B912-486793D0E76C}">
  <ds:schemaRefs>
    <ds:schemaRef ds:uri="http://schemas.microsoft.com/office/2006/documentManagement/types"/>
    <ds:schemaRef ds:uri="ace8a13e-82a4-4a5e-91b5-6f8894e54366"/>
    <ds:schemaRef ds:uri="http://schemas.microsoft.com/office/infopath/2007/PartnerControls"/>
    <ds:schemaRef ds:uri="http://purl.org/dc/elements/1.1/"/>
    <ds:schemaRef ds:uri="http://schemas.microsoft.com/office/2006/metadata/properties"/>
    <ds:schemaRef ds:uri="http://schemas.microsoft.com/sharepoint/v3"/>
    <ds:schemaRef ds:uri="http://purl.org/dc/terms/"/>
    <ds:schemaRef ds:uri="http://schemas.openxmlformats.org/package/2006/metadata/core-properties"/>
    <ds:schemaRef ds:uri="77f56e56-7eb9-40f1-873e-f877521e69ba"/>
    <ds:schemaRef ds:uri="a3d71736-a0a0-4c21-88c8-8a2a4e50cf95"/>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19</vt:i4>
      </vt:variant>
    </vt:vector>
  </HeadingPairs>
  <TitlesOfParts>
    <vt:vector size="25" baseType="lpstr">
      <vt:lpstr>ReadMe</vt:lpstr>
      <vt:lpstr>HSP Info</vt:lpstr>
      <vt:lpstr>Forecasted Surplus</vt:lpstr>
      <vt:lpstr>Request to Use Surplus</vt:lpstr>
      <vt:lpstr>OHRS</vt:lpstr>
      <vt:lpstr>Drop-Downs</vt:lpstr>
      <vt:lpstr>'Forecasted Surplus'!_ftn1</vt:lpstr>
      <vt:lpstr>'Forecasted Surplus'!_ftn2</vt:lpstr>
      <vt:lpstr>'Forecasted Surplus'!_ftnref1</vt:lpstr>
      <vt:lpstr>Count_Recoveries_New</vt:lpstr>
      <vt:lpstr>List_TPBE</vt:lpstr>
      <vt:lpstr>OHRS_FC</vt:lpstr>
      <vt:lpstr>OHRS_M</vt:lpstr>
      <vt:lpstr>OHRSM_Index</vt:lpstr>
      <vt:lpstr>Surplus_DD_FC_Header</vt:lpstr>
      <vt:lpstr>Surplus_DD_TPBE_Header</vt:lpstr>
      <vt:lpstr>Surplus_FC_Header</vt:lpstr>
      <vt:lpstr>Surplus_FC_List</vt:lpstr>
      <vt:lpstr>Surplus_TPBE_Header</vt:lpstr>
      <vt:lpstr>Surplus_TPBE_List</vt:lpstr>
      <vt:lpstr>TPBE_CHC</vt:lpstr>
      <vt:lpstr>TPBE_CSS</vt:lpstr>
      <vt:lpstr>TPBE_MHA</vt:lpstr>
      <vt:lpstr>TPBE_Surplus_DD_List</vt:lpstr>
      <vt:lpstr>TPBE_Surplus_List</vt:lpstr>
    </vt:vector>
  </TitlesOfParts>
  <Company>Health Shared Services Ontario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Mitchell Newman</dc:creator>
  <cp:lastModifiedBy>Mitchell, Jenna</cp:lastModifiedBy>
  <dcterms:created xsi:type="dcterms:W3CDTF">2021-12-14T14:42:52Z</dcterms:created>
  <dcterms:modified xsi:type="dcterms:W3CDTF">2022-10-06T19:47:09Z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0x010100F5CC782DE02E0A46B8583BABC5F01BA000A70A8DAD80DC934C9ADDE3FB99F44FE2</vt:lpwstr>
  </property>
  <property fmtid="{D5CDD505-2E9C-101B-9397-08002B2CF9AE}" pid="3" name="_dlc_DocIdItemGuid">
    <vt:lpwstr>8a6e8b03-bed9-4094-8aba-c25f7d0501bd</vt:lpwstr>
  </property>
</Properties>
</file>